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rgroupinc.sharepoint.com/CTResidential/2019/R1965 HP_HPWH baseline/T5_Cost_Effectiveness/"/>
    </mc:Choice>
  </mc:AlternateContent>
  <xr:revisionPtr revIDLastSave="0" documentId="8_{AD0AC566-6035-7D4B-B20A-1332A7BED574}" xr6:coauthVersionLast="47" xr6:coauthVersionMax="47" xr10:uidLastSave="{00000000-0000-0000-0000-000000000000}"/>
  <bookViews>
    <workbookView xWindow="0" yWindow="500" windowWidth="30800" windowHeight="15240" tabRatio="608" activeTab="1" xr2:uid="{5158A47D-D40C-4249-BCF9-4379E7FDCFFF}"/>
  </bookViews>
  <sheets>
    <sheet name="BCA" sheetId="6" r:id="rId1"/>
    <sheet name="HP Consumption" sheetId="5" r:id="rId2"/>
    <sheet name="Baseline Consumption" sheetId="8" r:id="rId3"/>
    <sheet name="Cost Data" sheetId="3" r:id="rId4"/>
    <sheet name="Energy Prices" sheetId="7" r:id="rId5"/>
  </sheets>
  <definedNames>
    <definedName name="_xlnm._FilterDatabase" localSheetId="0" hidden="1">BCA!$B$3:$Z$3</definedName>
    <definedName name="_xlnm._FilterDatabase" localSheetId="4" hidden="1">'Energy Prices'!$A$5:$I$5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6" l="1"/>
  <c r="U19" i="6"/>
  <c r="S17" i="6"/>
  <c r="S18" i="6"/>
  <c r="U18" i="6"/>
  <c r="S16" i="6"/>
  <c r="O16" i="3"/>
  <c r="K17" i="3"/>
  <c r="A16" i="3"/>
  <c r="B16" i="3"/>
  <c r="C16" i="3"/>
  <c r="D16" i="3"/>
  <c r="E16" i="3"/>
  <c r="F16" i="3"/>
  <c r="G16" i="3"/>
  <c r="H16" i="3"/>
  <c r="A17" i="3"/>
  <c r="B17" i="3"/>
  <c r="C17" i="3"/>
  <c r="D17" i="3"/>
  <c r="E17" i="3"/>
  <c r="F17" i="3"/>
  <c r="G17" i="3"/>
  <c r="H17" i="3"/>
  <c r="A18" i="3"/>
  <c r="B18" i="3"/>
  <c r="C18" i="3"/>
  <c r="D18" i="3"/>
  <c r="E18" i="3"/>
  <c r="F18" i="3"/>
  <c r="G18" i="3"/>
  <c r="H18" i="3"/>
  <c r="J17" i="8"/>
  <c r="K17" i="8"/>
  <c r="J18" i="8"/>
  <c r="K18" i="8"/>
  <c r="J19" i="8"/>
  <c r="K19" i="8"/>
  <c r="B19" i="8"/>
  <c r="C19" i="8"/>
  <c r="D19" i="8"/>
  <c r="M19" i="8" s="1"/>
  <c r="E19" i="8"/>
  <c r="F19" i="8"/>
  <c r="G19" i="8"/>
  <c r="B17" i="8"/>
  <c r="C17" i="8"/>
  <c r="D17" i="8"/>
  <c r="L17" i="8" s="1"/>
  <c r="O17" i="8" s="1"/>
  <c r="E17" i="8"/>
  <c r="F17" i="8"/>
  <c r="G17" i="8"/>
  <c r="B18" i="5"/>
  <c r="C18" i="5"/>
  <c r="D18" i="5"/>
  <c r="E18" i="5"/>
  <c r="F18" i="5"/>
  <c r="G18" i="5"/>
  <c r="B19" i="5"/>
  <c r="C19" i="5"/>
  <c r="D19" i="5"/>
  <c r="E19" i="5"/>
  <c r="F19" i="5"/>
  <c r="G19" i="5"/>
  <c r="B17" i="5"/>
  <c r="C17" i="5"/>
  <c r="D17" i="5"/>
  <c r="E17" i="5"/>
  <c r="F17" i="5"/>
  <c r="G17" i="5"/>
  <c r="K17" i="5" l="1"/>
  <c r="J18" i="5"/>
  <c r="J19" i="5"/>
  <c r="K19" i="5"/>
  <c r="L19" i="8"/>
  <c r="O19" i="8" s="1"/>
  <c r="K18" i="5"/>
  <c r="N17" i="8"/>
  <c r="U17" i="6" s="1"/>
  <c r="Q17" i="3"/>
  <c r="O18" i="6" s="1"/>
  <c r="J17" i="5"/>
  <c r="L17" i="5" s="1"/>
  <c r="T17" i="6" s="1"/>
  <c r="I18" i="3"/>
  <c r="J18" i="3"/>
  <c r="S13" i="6"/>
  <c r="S14" i="6"/>
  <c r="S15" i="6"/>
  <c r="S12" i="6"/>
  <c r="S7" i="6"/>
  <c r="S8" i="6"/>
  <c r="S9" i="6"/>
  <c r="S6" i="6"/>
  <c r="L18" i="5" l="1"/>
  <c r="L19" i="5"/>
  <c r="T19" i="6" s="1"/>
  <c r="K18" i="3"/>
  <c r="Q18" i="3" s="1"/>
  <c r="O19" i="6" s="1"/>
  <c r="S5" i="6"/>
  <c r="S10" i="6"/>
  <c r="S11" i="6"/>
  <c r="S4" i="6"/>
  <c r="I40" i="7"/>
  <c r="I39" i="7"/>
  <c r="D40" i="7"/>
  <c r="D39" i="7"/>
  <c r="V17" i="6" s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U6" i="6"/>
  <c r="U7" i="6"/>
  <c r="U8" i="6"/>
  <c r="U9" i="6"/>
  <c r="U12" i="6"/>
  <c r="U13" i="6"/>
  <c r="U14" i="6"/>
  <c r="U15" i="6"/>
  <c r="I27" i="8"/>
  <c r="U21" i="6" s="1"/>
  <c r="U20" i="6"/>
  <c r="H26" i="8"/>
  <c r="L20" i="6"/>
  <c r="L21" i="6"/>
  <c r="O8" i="6"/>
  <c r="O9" i="6"/>
  <c r="O20" i="6"/>
  <c r="M21" i="6" l="1"/>
  <c r="N21" i="6"/>
  <c r="M20" i="6"/>
  <c r="Q20" i="6" s="1"/>
  <c r="N20" i="6"/>
  <c r="R20" i="6" s="1"/>
  <c r="V19" i="6"/>
  <c r="P20" i="6"/>
  <c r="E26" i="8" l="1"/>
  <c r="E27" i="8"/>
  <c r="J20" i="8"/>
  <c r="K20" i="8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Q7" i="3"/>
  <c r="Q8" i="3"/>
  <c r="Q15" i="3"/>
  <c r="O16" i="6" s="1"/>
  <c r="Q19" i="3"/>
  <c r="Q20" i="3"/>
  <c r="O21" i="6" s="1"/>
  <c r="P21" i="6" s="1"/>
  <c r="S89" i="3"/>
  <c r="R89" i="3"/>
  <c r="O7" i="3"/>
  <c r="O4" i="3"/>
  <c r="O8" i="3"/>
  <c r="O9" i="3"/>
  <c r="O10" i="3"/>
  <c r="O15" i="3"/>
  <c r="O3" i="3"/>
  <c r="K7" i="3"/>
  <c r="K8" i="3"/>
  <c r="K13" i="3"/>
  <c r="K14" i="3"/>
  <c r="K15" i="3"/>
  <c r="Q21" i="6" l="1"/>
  <c r="R21" i="6"/>
  <c r="O5" i="3"/>
  <c r="O6" i="3"/>
  <c r="F3" i="8" l="1"/>
  <c r="G3" i="8"/>
  <c r="F4" i="8"/>
  <c r="G4" i="8"/>
  <c r="F5" i="8"/>
  <c r="G5" i="8"/>
  <c r="F6" i="8"/>
  <c r="G6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8" i="8"/>
  <c r="G18" i="8"/>
  <c r="D27" i="8" l="1"/>
  <c r="C27" i="8"/>
  <c r="B27" i="8"/>
  <c r="D26" i="8"/>
  <c r="C26" i="8"/>
  <c r="B26" i="8"/>
  <c r="E18" i="8"/>
  <c r="D18" i="8"/>
  <c r="C18" i="8"/>
  <c r="B18" i="8"/>
  <c r="E16" i="8"/>
  <c r="D16" i="8"/>
  <c r="C16" i="8"/>
  <c r="B16" i="8"/>
  <c r="E15" i="8"/>
  <c r="D15" i="8"/>
  <c r="C15" i="8"/>
  <c r="B15" i="8"/>
  <c r="E14" i="8"/>
  <c r="D14" i="8"/>
  <c r="C14" i="8"/>
  <c r="B14" i="8"/>
  <c r="E13" i="8"/>
  <c r="D13" i="8"/>
  <c r="M13" i="8" s="1"/>
  <c r="C13" i="8"/>
  <c r="B13" i="8"/>
  <c r="E12" i="8"/>
  <c r="D12" i="8"/>
  <c r="M12" i="8" s="1"/>
  <c r="C12" i="8"/>
  <c r="B12" i="8"/>
  <c r="E11" i="8"/>
  <c r="D11" i="8"/>
  <c r="C11" i="8"/>
  <c r="B11" i="8"/>
  <c r="E10" i="8"/>
  <c r="D10" i="8"/>
  <c r="C10" i="8"/>
  <c r="B10" i="8"/>
  <c r="E9" i="8"/>
  <c r="D9" i="8"/>
  <c r="C9" i="8"/>
  <c r="B9" i="8"/>
  <c r="E8" i="8"/>
  <c r="D8" i="8"/>
  <c r="C8" i="8"/>
  <c r="B8" i="8"/>
  <c r="E7" i="8"/>
  <c r="D7" i="8"/>
  <c r="M7" i="8" s="1"/>
  <c r="C7" i="8"/>
  <c r="B7" i="8"/>
  <c r="E6" i="8"/>
  <c r="D6" i="8"/>
  <c r="M6" i="8" s="1"/>
  <c r="C6" i="8"/>
  <c r="B6" i="8"/>
  <c r="E5" i="8"/>
  <c r="D5" i="8"/>
  <c r="C5" i="8"/>
  <c r="B5" i="8"/>
  <c r="E4" i="8"/>
  <c r="D4" i="8"/>
  <c r="N4" i="8" s="1"/>
  <c r="U4" i="6" s="1"/>
  <c r="C4" i="8"/>
  <c r="B4" i="8"/>
  <c r="M18" i="8" l="1"/>
  <c r="L18" i="8"/>
  <c r="N11" i="8"/>
  <c r="U11" i="6" s="1"/>
  <c r="N5" i="8"/>
  <c r="U5" i="6" s="1"/>
  <c r="N10" i="8"/>
  <c r="U10" i="6" s="1"/>
  <c r="N16" i="8"/>
  <c r="U16" i="6" s="1"/>
  <c r="L4" i="8"/>
  <c r="O4" i="8" s="1"/>
  <c r="L14" i="8"/>
  <c r="M14" i="8"/>
  <c r="M8" i="8"/>
  <c r="L8" i="8"/>
  <c r="M9" i="8"/>
  <c r="L9" i="8"/>
  <c r="L15" i="8"/>
  <c r="M15" i="8"/>
  <c r="L10" i="8"/>
  <c r="O10" i="8" s="1"/>
  <c r="L13" i="8"/>
  <c r="O13" i="8" s="1"/>
  <c r="L12" i="8"/>
  <c r="O12" i="8" s="1"/>
  <c r="L7" i="8"/>
  <c r="L11" i="8"/>
  <c r="L5" i="8"/>
  <c r="L6" i="8"/>
  <c r="O6" i="8" s="1"/>
  <c r="L16" i="8"/>
  <c r="F27" i="5"/>
  <c r="G27" i="5" s="1"/>
  <c r="T21" i="6" s="1"/>
  <c r="V21" i="6" s="1"/>
  <c r="W21" i="6" s="1"/>
  <c r="F26" i="5"/>
  <c r="G26" i="5" s="1"/>
  <c r="T20" i="6" s="1"/>
  <c r="V20" i="6" s="1"/>
  <c r="B27" i="5"/>
  <c r="C27" i="5"/>
  <c r="D27" i="5"/>
  <c r="C26" i="5"/>
  <c r="D26" i="5"/>
  <c r="B26" i="5"/>
  <c r="C20" i="3"/>
  <c r="C19" i="3"/>
  <c r="B5" i="5"/>
  <c r="C5" i="5"/>
  <c r="D5" i="5"/>
  <c r="E5" i="5"/>
  <c r="F5" i="5"/>
  <c r="G5" i="5"/>
  <c r="B6" i="5"/>
  <c r="C6" i="5"/>
  <c r="D6" i="5"/>
  <c r="E6" i="5"/>
  <c r="F6" i="5"/>
  <c r="G6" i="5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B13" i="5"/>
  <c r="C13" i="5"/>
  <c r="D13" i="5"/>
  <c r="E13" i="5"/>
  <c r="F13" i="5"/>
  <c r="G13" i="5"/>
  <c r="B14" i="5"/>
  <c r="C14" i="5"/>
  <c r="D14" i="5"/>
  <c r="E14" i="5"/>
  <c r="F14" i="5"/>
  <c r="G14" i="5"/>
  <c r="B15" i="5"/>
  <c r="C15" i="5"/>
  <c r="D15" i="5"/>
  <c r="E15" i="5"/>
  <c r="F15" i="5"/>
  <c r="G15" i="5"/>
  <c r="B16" i="5"/>
  <c r="C16" i="5"/>
  <c r="D16" i="5"/>
  <c r="E16" i="5"/>
  <c r="F16" i="5"/>
  <c r="G16" i="5"/>
  <c r="G4" i="5"/>
  <c r="F4" i="5"/>
  <c r="E4" i="5"/>
  <c r="D4" i="5"/>
  <c r="B4" i="5"/>
  <c r="C4" i="5"/>
  <c r="H20" i="3"/>
  <c r="G20" i="3"/>
  <c r="F20" i="3"/>
  <c r="E20" i="3"/>
  <c r="D20" i="3"/>
  <c r="B20" i="3"/>
  <c r="A20" i="3"/>
  <c r="H19" i="3"/>
  <c r="G19" i="3"/>
  <c r="F19" i="3"/>
  <c r="E19" i="3"/>
  <c r="D19" i="3"/>
  <c r="B19" i="3"/>
  <c r="A19" i="3"/>
  <c r="H15" i="3"/>
  <c r="G15" i="3"/>
  <c r="F15" i="3"/>
  <c r="E15" i="3"/>
  <c r="D15" i="3"/>
  <c r="C15" i="3"/>
  <c r="B15" i="3"/>
  <c r="A15" i="3"/>
  <c r="H14" i="3"/>
  <c r="G14" i="3"/>
  <c r="F14" i="3"/>
  <c r="E14" i="3"/>
  <c r="D14" i="3"/>
  <c r="C14" i="3"/>
  <c r="T14" i="3" s="1"/>
  <c r="L15" i="6" s="1"/>
  <c r="B14" i="3"/>
  <c r="A14" i="3"/>
  <c r="H13" i="3"/>
  <c r="G13" i="3"/>
  <c r="F13" i="3"/>
  <c r="E13" i="3"/>
  <c r="D13" i="3"/>
  <c r="C13" i="3"/>
  <c r="T13" i="3" s="1"/>
  <c r="L14" i="6" s="1"/>
  <c r="B13" i="3"/>
  <c r="A13" i="3"/>
  <c r="H12" i="3"/>
  <c r="G12" i="3"/>
  <c r="F12" i="3"/>
  <c r="E12" i="3"/>
  <c r="D12" i="3"/>
  <c r="C12" i="3"/>
  <c r="T12" i="3" s="1"/>
  <c r="L13" i="6" s="1"/>
  <c r="B12" i="3"/>
  <c r="A12" i="3"/>
  <c r="H11" i="3"/>
  <c r="G11" i="3"/>
  <c r="F11" i="3"/>
  <c r="E11" i="3"/>
  <c r="D11" i="3"/>
  <c r="C11" i="3"/>
  <c r="T11" i="3" s="1"/>
  <c r="L12" i="6" s="1"/>
  <c r="B11" i="3"/>
  <c r="A11" i="3"/>
  <c r="H10" i="3"/>
  <c r="G10" i="3"/>
  <c r="F10" i="3"/>
  <c r="E10" i="3"/>
  <c r="D10" i="3"/>
  <c r="C10" i="3"/>
  <c r="T10" i="3" s="1"/>
  <c r="L11" i="6" s="1"/>
  <c r="B10" i="3"/>
  <c r="A10" i="3"/>
  <c r="H9" i="3"/>
  <c r="G9" i="3"/>
  <c r="F9" i="3"/>
  <c r="E9" i="3"/>
  <c r="D9" i="3"/>
  <c r="C9" i="3"/>
  <c r="T9" i="3" s="1"/>
  <c r="L10" i="6" s="1"/>
  <c r="B9" i="3"/>
  <c r="A9" i="3"/>
  <c r="H8" i="3"/>
  <c r="G8" i="3"/>
  <c r="F8" i="3"/>
  <c r="E8" i="3"/>
  <c r="D8" i="3"/>
  <c r="C8" i="3"/>
  <c r="T8" i="3" s="1"/>
  <c r="L9" i="6" s="1"/>
  <c r="B8" i="3"/>
  <c r="A8" i="3"/>
  <c r="H7" i="3"/>
  <c r="G7" i="3"/>
  <c r="F7" i="3"/>
  <c r="E7" i="3"/>
  <c r="D7" i="3"/>
  <c r="C7" i="3"/>
  <c r="T7" i="3" s="1"/>
  <c r="L8" i="6" s="1"/>
  <c r="B7" i="3"/>
  <c r="A7" i="3"/>
  <c r="H6" i="3"/>
  <c r="G6" i="3"/>
  <c r="F6" i="3"/>
  <c r="E6" i="3"/>
  <c r="D6" i="3"/>
  <c r="C6" i="3"/>
  <c r="T6" i="3" s="1"/>
  <c r="L7" i="6" s="1"/>
  <c r="B6" i="3"/>
  <c r="A6" i="3"/>
  <c r="H5" i="3"/>
  <c r="G5" i="3"/>
  <c r="F5" i="3"/>
  <c r="E5" i="3"/>
  <c r="D5" i="3"/>
  <c r="C5" i="3"/>
  <c r="T5" i="3" s="1"/>
  <c r="L6" i="6" s="1"/>
  <c r="B5" i="3"/>
  <c r="A5" i="3"/>
  <c r="H4" i="3"/>
  <c r="G4" i="3"/>
  <c r="F4" i="3"/>
  <c r="E4" i="3"/>
  <c r="D4" i="3"/>
  <c r="C4" i="3"/>
  <c r="T4" i="3" s="1"/>
  <c r="L5" i="6" s="1"/>
  <c r="B4" i="3"/>
  <c r="A4" i="3"/>
  <c r="H3" i="3"/>
  <c r="G3" i="3"/>
  <c r="F3" i="3"/>
  <c r="E3" i="3"/>
  <c r="D3" i="3"/>
  <c r="C3" i="3"/>
  <c r="B3" i="3"/>
  <c r="A3" i="3"/>
  <c r="H2" i="3"/>
  <c r="G2" i="3"/>
  <c r="F2" i="3"/>
  <c r="E2" i="3"/>
  <c r="D2" i="3"/>
  <c r="C2" i="3"/>
  <c r="B2" i="3"/>
  <c r="A2" i="3"/>
  <c r="X21" i="6" l="1"/>
  <c r="Y21" i="6"/>
  <c r="X20" i="6"/>
  <c r="W20" i="6"/>
  <c r="Y20" i="6"/>
  <c r="M6" i="6"/>
  <c r="N6" i="6"/>
  <c r="M10" i="6"/>
  <c r="N10" i="6"/>
  <c r="M13" i="6"/>
  <c r="N13" i="6"/>
  <c r="M7" i="6"/>
  <c r="N7" i="6"/>
  <c r="P9" i="6"/>
  <c r="M9" i="6"/>
  <c r="Q9" i="6" s="1"/>
  <c r="N9" i="6"/>
  <c r="R9" i="6" s="1"/>
  <c r="M11" i="6"/>
  <c r="N11" i="6"/>
  <c r="M14" i="6"/>
  <c r="N14" i="6"/>
  <c r="M5" i="6"/>
  <c r="N5" i="6"/>
  <c r="P8" i="6"/>
  <c r="M8" i="6"/>
  <c r="Q8" i="6" s="1"/>
  <c r="N8" i="6"/>
  <c r="R8" i="6" s="1"/>
  <c r="N12" i="6"/>
  <c r="M12" i="6"/>
  <c r="M15" i="6"/>
  <c r="N15" i="6"/>
  <c r="O18" i="8"/>
  <c r="T18" i="6" s="1"/>
  <c r="V18" i="6" s="1"/>
  <c r="J3" i="3"/>
  <c r="T3" i="3"/>
  <c r="L4" i="6" s="1"/>
  <c r="T15" i="3"/>
  <c r="J16" i="3"/>
  <c r="I16" i="3"/>
  <c r="O8" i="8"/>
  <c r="K13" i="5"/>
  <c r="K5" i="5"/>
  <c r="J16" i="5"/>
  <c r="O15" i="8"/>
  <c r="J12" i="5"/>
  <c r="J8" i="5"/>
  <c r="J4" i="3"/>
  <c r="I4" i="3"/>
  <c r="J5" i="3"/>
  <c r="I5" i="3"/>
  <c r="I9" i="3"/>
  <c r="J9" i="3"/>
  <c r="I11" i="3"/>
  <c r="J11" i="3"/>
  <c r="J12" i="3"/>
  <c r="I12" i="3"/>
  <c r="T17" i="3"/>
  <c r="L18" i="6" s="1"/>
  <c r="I3" i="3"/>
  <c r="J6" i="3"/>
  <c r="I6" i="3"/>
  <c r="J10" i="3"/>
  <c r="I10" i="3"/>
  <c r="J13" i="5"/>
  <c r="J6" i="5"/>
  <c r="K4" i="5"/>
  <c r="J4" i="5"/>
  <c r="J14" i="5"/>
  <c r="O16" i="8"/>
  <c r="O9" i="8"/>
  <c r="O11" i="8"/>
  <c r="O7" i="8"/>
  <c r="O5" i="8"/>
  <c r="O14" i="8"/>
  <c r="J10" i="5"/>
  <c r="K6" i="5"/>
  <c r="J11" i="5"/>
  <c r="J5" i="5"/>
  <c r="K9" i="5"/>
  <c r="J9" i="5"/>
  <c r="J15" i="5"/>
  <c r="K8" i="5"/>
  <c r="K12" i="5"/>
  <c r="K16" i="5"/>
  <c r="L16" i="5" s="1"/>
  <c r="J7" i="5"/>
  <c r="K15" i="5"/>
  <c r="K11" i="5"/>
  <c r="K7" i="5"/>
  <c r="K14" i="5"/>
  <c r="K10" i="5"/>
  <c r="K16" i="3" l="1"/>
  <c r="Q16" i="3" s="1"/>
  <c r="O17" i="6" s="1"/>
  <c r="P18" i="6"/>
  <c r="X18" i="6" s="1"/>
  <c r="M18" i="6"/>
  <c r="Q18" i="6" s="1"/>
  <c r="W18" i="6" s="1"/>
  <c r="N18" i="6"/>
  <c r="R18" i="6" s="1"/>
  <c r="Y18" i="6" s="1"/>
  <c r="N4" i="6"/>
  <c r="M4" i="6"/>
  <c r="K6" i="3"/>
  <c r="Q6" i="3" s="1"/>
  <c r="O7" i="6" s="1"/>
  <c r="P7" i="6" s="1"/>
  <c r="L13" i="5"/>
  <c r="T13" i="6" s="1"/>
  <c r="V13" i="6" s="1"/>
  <c r="L16" i="6"/>
  <c r="T16" i="3"/>
  <c r="L17" i="6" s="1"/>
  <c r="T16" i="6"/>
  <c r="V16" i="6" s="1"/>
  <c r="T18" i="3"/>
  <c r="L19" i="6" s="1"/>
  <c r="L5" i="5"/>
  <c r="T5" i="6" s="1"/>
  <c r="V5" i="6" s="1"/>
  <c r="K4" i="3"/>
  <c r="Q4" i="3" s="1"/>
  <c r="O5" i="6" s="1"/>
  <c r="P5" i="6" s="1"/>
  <c r="K3" i="3"/>
  <c r="Q3" i="3" s="1"/>
  <c r="O4" i="6" s="1"/>
  <c r="P4" i="6" s="1"/>
  <c r="K5" i="3"/>
  <c r="Q5" i="3" s="1"/>
  <c r="O6" i="6" s="1"/>
  <c r="P6" i="6" s="1"/>
  <c r="L12" i="5"/>
  <c r="T12" i="6" s="1"/>
  <c r="V12" i="6" s="1"/>
  <c r="L8" i="5"/>
  <c r="T8" i="6" s="1"/>
  <c r="V8" i="6" s="1"/>
  <c r="K12" i="3"/>
  <c r="Q14" i="3"/>
  <c r="O15" i="6" s="1"/>
  <c r="P15" i="6" s="1"/>
  <c r="L7" i="5"/>
  <c r="T7" i="6" s="1"/>
  <c r="V7" i="6" s="1"/>
  <c r="L15" i="5"/>
  <c r="T15" i="6" s="1"/>
  <c r="V15" i="6" s="1"/>
  <c r="K9" i="3"/>
  <c r="Q9" i="3" s="1"/>
  <c r="O10" i="6" s="1"/>
  <c r="P10" i="6" s="1"/>
  <c r="Q13" i="3"/>
  <c r="O14" i="6" s="1"/>
  <c r="P14" i="6" s="1"/>
  <c r="L11" i="5"/>
  <c r="T11" i="6" s="1"/>
  <c r="V11" i="6" s="1"/>
  <c r="K10" i="3"/>
  <c r="Q10" i="3" s="1"/>
  <c r="O11" i="6" s="1"/>
  <c r="P11" i="6" s="1"/>
  <c r="K11" i="3"/>
  <c r="L6" i="5"/>
  <c r="T6" i="6" s="1"/>
  <c r="V6" i="6" s="1"/>
  <c r="L14" i="5"/>
  <c r="T14" i="6" s="1"/>
  <c r="V14" i="6" s="1"/>
  <c r="L10" i="5"/>
  <c r="T10" i="6" s="1"/>
  <c r="V10" i="6" s="1"/>
  <c r="L9" i="5"/>
  <c r="T9" i="6" s="1"/>
  <c r="V9" i="6" s="1"/>
  <c r="L4" i="5"/>
  <c r="T4" i="6" s="1"/>
  <c r="V4" i="6" s="1"/>
  <c r="Q14" i="6" l="1"/>
  <c r="W14" i="6" s="1"/>
  <c r="R14" i="6"/>
  <c r="Y14" i="6" s="1"/>
  <c r="Q15" i="6"/>
  <c r="W15" i="6" s="1"/>
  <c r="R15" i="6"/>
  <c r="Y15" i="6" s="1"/>
  <c r="X9" i="6"/>
  <c r="W9" i="6"/>
  <c r="Y9" i="6"/>
  <c r="R6" i="6"/>
  <c r="Y6" i="6" s="1"/>
  <c r="Q7" i="6"/>
  <c r="W7" i="6" s="1"/>
  <c r="Q4" i="6"/>
  <c r="W4" i="6" s="1"/>
  <c r="R10" i="6"/>
  <c r="Y10" i="6" s="1"/>
  <c r="R7" i="6"/>
  <c r="Y7" i="6" s="1"/>
  <c r="R4" i="6"/>
  <c r="Y4" i="6" s="1"/>
  <c r="Q11" i="6"/>
  <c r="W11" i="6" s="1"/>
  <c r="Q5" i="6"/>
  <c r="W5" i="6" s="1"/>
  <c r="Q6" i="6"/>
  <c r="W6" i="6" s="1"/>
  <c r="R11" i="6"/>
  <c r="Y11" i="6" s="1"/>
  <c r="R5" i="6"/>
  <c r="Y5" i="6" s="1"/>
  <c r="X8" i="6"/>
  <c r="Y8" i="6"/>
  <c r="W8" i="6"/>
  <c r="Q10" i="6"/>
  <c r="W10" i="6" s="1"/>
  <c r="X4" i="6"/>
  <c r="P16" i="6"/>
  <c r="X16" i="6" s="1"/>
  <c r="M16" i="6"/>
  <c r="Q16" i="6" s="1"/>
  <c r="W16" i="6" s="1"/>
  <c r="N16" i="6"/>
  <c r="R16" i="6" s="1"/>
  <c r="Y16" i="6" s="1"/>
  <c r="P19" i="6"/>
  <c r="X19" i="6" s="1"/>
  <c r="M19" i="6"/>
  <c r="Q19" i="6" s="1"/>
  <c r="W19" i="6" s="1"/>
  <c r="N19" i="6"/>
  <c r="R19" i="6" s="1"/>
  <c r="Y19" i="6" s="1"/>
  <c r="P17" i="6"/>
  <c r="X17" i="6" s="1"/>
  <c r="M17" i="6"/>
  <c r="Q17" i="6" s="1"/>
  <c r="W17" i="6" s="1"/>
  <c r="N17" i="6"/>
  <c r="R17" i="6" s="1"/>
  <c r="Y17" i="6" s="1"/>
  <c r="X7" i="6"/>
  <c r="X5" i="6"/>
  <c r="X6" i="6"/>
  <c r="Q12" i="3"/>
  <c r="O13" i="6" s="1"/>
  <c r="Q11" i="3"/>
  <c r="O12" i="6" s="1"/>
  <c r="X15" i="6"/>
  <c r="X14" i="6"/>
  <c r="X11" i="6"/>
  <c r="X10" i="6"/>
  <c r="P13" i="6" l="1"/>
  <c r="X13" i="6" s="1"/>
  <c r="R13" i="6"/>
  <c r="Y13" i="6" s="1"/>
  <c r="Q13" i="6"/>
  <c r="W13" i="6" s="1"/>
  <c r="P12" i="6"/>
  <c r="X12" i="6" s="1"/>
  <c r="R12" i="6"/>
  <c r="Y12" i="6" s="1"/>
  <c r="Q12" i="6"/>
  <c r="W1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Rothstein, Jeffrey</author>
  </authors>
  <commentList>
    <comment ref="P4" authorId="0" shapeId="0" xr:uid="{EBAC0046-24C8-4AF2-A131-5A415215B9CF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assumed that partial heating displacement measures use only cooling baseline costs in the incremental cost calculation</t>
        </r>
      </text>
    </comment>
    <comment ref="P41" authorId="0" shapeId="0" xr:uid="{2DF3A569-B4D5-49E7-9EC0-6B9AB0950FEF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assumed that partial heating displacement measures use only cooling baseline costs in the incremental cost calculation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Rothstein, Jeffrey</author>
  </authors>
  <commentList>
    <comment ref="H20" authorId="0" shapeId="0" xr:uid="{D919886D-5B13-452F-85D7-7098D0788BE0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Used code efficiency since we're assuming end of life replacement meaning baseline is a new code equipment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Rothstein, Jeffrey</author>
  </authors>
  <commentList>
    <comment ref="I3" authorId="0" shapeId="0" xr:uid="{D1093AC1-8376-4180-9011-F0CE078E434F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the 12000 BTU window AC costs seemed way too high so I used 10,000 BTU cost *(12000/10000)</t>
        </r>
      </text>
    </comment>
    <comment ref="M3" authorId="0" shapeId="0" xr:uid="{F7A274CC-409F-4885-98AE-018CAFE0F264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Assume customer is keeping existing heating system in the partial displacement scenario so cost is 0</t>
        </r>
      </text>
    </comment>
    <comment ref="T3" authorId="0" shapeId="0" xr:uid="{E9985ABB-9773-4A39-B48D-F0100E1CDAE1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used "regular" for partial displacement and "cold climate" for full</t>
        </r>
      </text>
    </comment>
    <comment ref="T4" authorId="0" shapeId="0" xr:uid="{B7EB7EA5-73D2-4EE1-AFF0-6E3A5692B897}">
      <text>
        <r>
          <rPr>
            <b/>
            <sz val="9"/>
            <color indexed="81"/>
            <rFont val="Tahoma"/>
            <family val="2"/>
          </rPr>
          <t>Rothstein, Jeffrey:</t>
        </r>
        <r>
          <rPr>
            <sz val="9"/>
            <color indexed="81"/>
            <rFont val="Tahoma"/>
            <family val="2"/>
          </rPr>
          <t xml:space="preserve">
used 2 zone data for 2 ton</t>
        </r>
      </text>
    </comment>
  </commentList>
</comments>
</file>

<file path=xl/sharedStrings.xml><?xml version="1.0" encoding="utf-8"?>
<sst xmlns="http://schemas.openxmlformats.org/spreadsheetml/2006/main" count="378" uniqueCount="149">
  <si>
    <t>MSHP</t>
  </si>
  <si>
    <t>Install Cost (eqt)</t>
  </si>
  <si>
    <t>Install Cost (install)</t>
  </si>
  <si>
    <t>Install cost (total)</t>
  </si>
  <si>
    <t>Source</t>
  </si>
  <si>
    <t>No cooling</t>
  </si>
  <si>
    <t>Capacity</t>
  </si>
  <si>
    <t>N/A</t>
  </si>
  <si>
    <t>HP WH</t>
  </si>
  <si>
    <t>Sources:</t>
  </si>
  <si>
    <t>Baseline</t>
  </si>
  <si>
    <t xml:space="preserve">Install </t>
  </si>
  <si>
    <t>Scenario</t>
  </si>
  <si>
    <t>A</t>
  </si>
  <si>
    <t>B</t>
  </si>
  <si>
    <t>C</t>
  </si>
  <si>
    <t>D</t>
  </si>
  <si>
    <t>E</t>
  </si>
  <si>
    <t>F</t>
  </si>
  <si>
    <t>H</t>
  </si>
  <si>
    <t>J</t>
  </si>
  <si>
    <t>SEER</t>
  </si>
  <si>
    <t>HSPF</t>
  </si>
  <si>
    <t>EFLH (heat)</t>
  </si>
  <si>
    <t>EFLH (cool)</t>
  </si>
  <si>
    <t>UEF</t>
  </si>
  <si>
    <t>Average Residential Annual Water heating load (btu)</t>
  </si>
  <si>
    <t>Annual Consumption (kWh)</t>
  </si>
  <si>
    <t>Annual Cooling Consumption (kWh)</t>
  </si>
  <si>
    <t>Annual Heating Consumption (kWh)</t>
  </si>
  <si>
    <t>Heating Displacement</t>
  </si>
  <si>
    <t>Partial</t>
  </si>
  <si>
    <t>Full</t>
  </si>
  <si>
    <t>K</t>
  </si>
  <si>
    <t>M</t>
  </si>
  <si>
    <t>O</t>
  </si>
  <si>
    <t>P</t>
  </si>
  <si>
    <t>Baseline Heating</t>
  </si>
  <si>
    <t>Baseline Cooling</t>
  </si>
  <si>
    <t>Type</t>
  </si>
  <si>
    <t>EE Participant Total Costs</t>
  </si>
  <si>
    <t>Baseline Participant Total Costs</t>
  </si>
  <si>
    <t>Incremental EE Measure Costs</t>
  </si>
  <si>
    <t xml:space="preserve">G </t>
  </si>
  <si>
    <t>I</t>
  </si>
  <si>
    <t>L</t>
  </si>
  <si>
    <t>N</t>
  </si>
  <si>
    <t>Cooling Efficiency (SEER)</t>
  </si>
  <si>
    <t>Window AC</t>
  </si>
  <si>
    <t>Central AC</t>
  </si>
  <si>
    <t>Oil Boiler</t>
  </si>
  <si>
    <t>Electric Resistance</t>
  </si>
  <si>
    <t>Electric WH</t>
  </si>
  <si>
    <t>Oil WH</t>
  </si>
  <si>
    <t>Rebate</t>
  </si>
  <si>
    <t>Participant Cost Test</t>
  </si>
  <si>
    <t>Heating Efficiency (HSPF/UEF)</t>
  </si>
  <si>
    <t>Notes</t>
  </si>
  <si>
    <t>Developed Based on CT program data</t>
  </si>
  <si>
    <t>Developed based on estimated most likely scenarios</t>
  </si>
  <si>
    <t>Developed based on internal cost research</t>
  </si>
  <si>
    <t xml:space="preserve">Developed based on program data and heat pump cost studies commissioned by Massachusetts Program Administrators and Energy Efficiency Advisory Council </t>
  </si>
  <si>
    <t>EE cost - Baseline Cost</t>
  </si>
  <si>
    <t>Refer to Consumption tabs</t>
  </si>
  <si>
    <t>Fossil water heater PSD residential water heating load</t>
  </si>
  <si>
    <t>Size (gallons)</t>
  </si>
  <si>
    <t>Cooling/Heating</t>
  </si>
  <si>
    <t>DHW</t>
  </si>
  <si>
    <t>2021 4.2.6 Ductless HP PSD for partial displacement, 2021 4.2.2 Residential Heat Pump PSD for full</t>
  </si>
  <si>
    <t xml:space="preserve">Based on current 2021 proposed CT rebate structure from DEEP 2019-2021 Electric and Natural Gas Conservation and Load Management Plan </t>
  </si>
  <si>
    <t>Equipment Cost</t>
  </si>
  <si>
    <t>Installation Cost</t>
  </si>
  <si>
    <t>Total Cost</t>
  </si>
  <si>
    <t>RS Means 2020 Hartford CT</t>
  </si>
  <si>
    <t>-</t>
  </si>
  <si>
    <t>Navigant Water Heating, Boiler, and Furnace Cost
Study (RES 19) for Program Administrators of Massachusetts</t>
  </si>
  <si>
    <t xml:space="preserve">https://ma-eeac.org/wp-content/uploads/RES19_Assembled_Report_2018-09-27.pdf
</t>
  </si>
  <si>
    <t>n/a</t>
  </si>
  <si>
    <t>Electric Resistance Cost</t>
  </si>
  <si>
    <t>Equip Cost</t>
  </si>
  <si>
    <t>Install Cost</t>
  </si>
  <si>
    <t>4' 1000 watt</t>
  </si>
  <si>
    <t>per equivalent heat pump tonnage</t>
  </si>
  <si>
    <t>Navigant Heat Pump Cost
Study (RES 23) for Program Administrators of Massachusetts</t>
  </si>
  <si>
    <t>https://ma-eeac.org/wp-content/uploads/RES23_Task2_AC-HP_Cost_Study_Results_Memo_v3_clean.pdf</t>
  </si>
  <si>
    <t>https://ma-eeac.org/wp-content/uploads/RES28_Assembled_Report_2018-10-05.pdf</t>
  </si>
  <si>
    <t>Baseline Combined</t>
  </si>
  <si>
    <t>Heating Efficiency</t>
  </si>
  <si>
    <t>Code for full, Estimated existing efficiency for Partial</t>
  </si>
  <si>
    <t>Total Annual Consumption (kWh)</t>
  </si>
  <si>
    <t>EER/SEER</t>
  </si>
  <si>
    <t>PSD for oil, Navigant study for electric</t>
  </si>
  <si>
    <t>Source:</t>
  </si>
  <si>
    <t>Annual kWh Savings</t>
  </si>
  <si>
    <t>Measure Life (years)</t>
  </si>
  <si>
    <t>2021 PSD</t>
  </si>
  <si>
    <t>Annual Heating Consumption (MMBTU)</t>
  </si>
  <si>
    <t>Annual Consumption (MMBTU)</t>
  </si>
  <si>
    <t>Annual Oil Savings (MMBTU)</t>
  </si>
  <si>
    <t>Energy Prices Residential Electricity (Case Reference case Region New England)</t>
  </si>
  <si>
    <t>https://www.eia.gov/outlooks/aeo/data/browser/#/?id=3-AEO2020&amp;region=1-1&amp;cases=ref2020&amp;start=2018&amp;end=2050&amp;f=A&amp;linechart=~~~~~~~~~~~~~~ref2020-d112119a.6-3-AEO2020.1-1&amp;map=ref2020-d112119a.4-3-AEO2020.1-1&amp;ctype=linechart&amp;sid=&amp;sourcekey=0</t>
  </si>
  <si>
    <t>16:27:44 GMT-0400 (Eastern Daylight Time)</t>
  </si>
  <si>
    <t>Source: U.S. Energy Information Administration</t>
  </si>
  <si>
    <t>Year</t>
  </si>
  <si>
    <t>Energy Prices: Residential: Electricity 2019 $/MMBtu</t>
  </si>
  <si>
    <t>$/kWh</t>
  </si>
  <si>
    <t>Energy Prices Residential Distillate Fuel Oil (Case Reference case Region New England)</t>
  </si>
  <si>
    <t>https://www.eia.gov/outlooks/aeo/data/browser/#/?id=3-AEO2020&amp;region=1-1&amp;cases=ref2020&amp;start=2018&amp;end=2050&amp;f=A&amp;linechart=~~~~~~~~~~~~~~~ref2020-d112119a.4-3-AEO2020.1-1&amp;map=ref2020-d112119a.4-3-AEO2020.1-1&amp;ctype=linechart&amp;sid=&amp;sourcekey=0</t>
  </si>
  <si>
    <t>16:30:35 GMT-0400 (Eastern Daylight Time)</t>
  </si>
  <si>
    <t>Energy Prices: Residential: Distillate Fuel Oil 2019 $/MMBtu</t>
  </si>
  <si>
    <t>Measure Life Year</t>
  </si>
  <si>
    <t>Net Present Value over 18 year measure life</t>
  </si>
  <si>
    <t>Net Present Value over 13 year measure life</t>
  </si>
  <si>
    <t>Lifetime Cost Savings</t>
  </si>
  <si>
    <t>https://19january2017snapshot.epa.gov/sites/production/files/2015-08/documents/understanding_cost-effectiveness_of_energy_efficiency_programs_best_practices_technical_methods_and_emerging_issues_for_policy-makers.pdf</t>
  </si>
  <si>
    <t>CT1965 Heat Pump Participant Cost Test Analysis</t>
  </si>
  <si>
    <t>Q</t>
  </si>
  <si>
    <t>R</t>
  </si>
  <si>
    <t>CT Program Average Data</t>
  </si>
  <si>
    <t>Navigant Heat Pump Cost Prorated for 4 tons
Study (RES 23) for Program Administrators of Massachusetts</t>
  </si>
  <si>
    <t>Navigant Heat Pump Cost Prorated for 4 tons</t>
  </si>
  <si>
    <t>Retrofit</t>
  </si>
  <si>
    <t>Heating Replacement Scenario</t>
  </si>
  <si>
    <t>Replace on Failure</t>
  </si>
  <si>
    <t>Discount Rate (DEEP)</t>
  </si>
  <si>
    <t>EE Participant Cost - Low End (80% of Average)</t>
  </si>
  <si>
    <t>EE Participant Cost - High End (120% of Average)</t>
  </si>
  <si>
    <t>Incremental EE Measure Costs - Low End</t>
  </si>
  <si>
    <t>Incremental EE Measure Costs - High End</t>
  </si>
  <si>
    <t>Participant Cost Test - Low End Cost</t>
  </si>
  <si>
    <t>Participant Cost Test - High End Cost</t>
  </si>
  <si>
    <t>Tons/ Gallons</t>
  </si>
  <si>
    <t>List of Non-Energy Impacts associated with heat pump measures (not included in Participant Cost Test Ratio)</t>
  </si>
  <si>
    <t>o   Comfort during the winter</t>
  </si>
  <si>
    <t>o   Comfort during the summer</t>
  </si>
  <si>
    <t>o   Equipment reliability</t>
  </si>
  <si>
    <t>o   Equipment maintenance</t>
  </si>
  <si>
    <t>o   Equipment noise</t>
  </si>
  <si>
    <t>o   Household members’ health</t>
  </si>
  <si>
    <t>o   Ability to sell home</t>
  </si>
  <si>
    <t>o   Ability to pay energy bills</t>
  </si>
  <si>
    <t>o   Water bill</t>
  </si>
  <si>
    <t>o   Home safety</t>
  </si>
  <si>
    <t>o   Frequency of fuel deliveries</t>
  </si>
  <si>
    <t>o   Appearance of home</t>
  </si>
  <si>
    <t>Note: NMR is currently working on a study to quantify these non-energy impacts so that they can be included in future cost-effectiveness testing for heat pump measures. The results are not finalized so they were not added in this cost effectiveness study.</t>
  </si>
  <si>
    <t>2021 4.2.6 Ductless HP PSD for MSHP, 2021 ASHP MA TRM for CASHP (PSD does not have a value for ASHP)</t>
  </si>
  <si>
    <t>CASHP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</si>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</sst>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0000_);[Red]\(#,##0.00000\)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0"/>
      <name val="Geneva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b/>
      <sz val="10"/>
      <name val="Geneva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3" fontId="0" fillId="0" borderId="0" xfId="0" applyNumberFormat="1"/>
    <xf numFmtId="0" fontId="0" fillId="0" borderId="1" xfId="0" applyBorder="1" applyAlignment="1">
      <alignment wrapText="1"/>
    </xf>
    <xf numFmtId="0" fontId="0" fillId="4" borderId="0" xfId="0" applyFill="1"/>
    <xf numFmtId="1" fontId="0" fillId="4" borderId="0" xfId="0" applyNumberFormat="1" applyFill="1"/>
    <xf numFmtId="1" fontId="0" fillId="5" borderId="0" xfId="0" applyNumberFormat="1" applyFill="1"/>
    <xf numFmtId="0" fontId="1" fillId="0" borderId="0" xfId="0" applyFont="1"/>
    <xf numFmtId="0" fontId="10" fillId="0" borderId="0" xfId="3" applyAlignment="1"/>
    <xf numFmtId="0" fontId="10" fillId="0" borderId="0" xfId="3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6" fontId="0" fillId="0" borderId="12" xfId="0" applyNumberFormat="1" applyBorder="1"/>
    <xf numFmtId="0" fontId="0" fillId="0" borderId="9" xfId="0" applyBorder="1" applyAlignment="1"/>
    <xf numFmtId="0" fontId="0" fillId="0" borderId="12" xfId="0" applyBorder="1" applyAlignment="1"/>
    <xf numFmtId="0" fontId="0" fillId="0" borderId="12" xfId="0" applyBorder="1"/>
    <xf numFmtId="0" fontId="1" fillId="0" borderId="2" xfId="0" applyFont="1" applyBorder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164" fontId="0" fillId="0" borderId="8" xfId="0" applyNumberFormat="1" applyBorder="1"/>
    <xf numFmtId="164" fontId="0" fillId="0" borderId="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9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1" fillId="0" borderId="0" xfId="0" applyFont="1"/>
    <xf numFmtId="0" fontId="1" fillId="4" borderId="0" xfId="0" applyFont="1" applyFill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8" fillId="2" borderId="1" xfId="2" applyNumberFormat="1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0" fillId="0" borderId="0" xfId="0" applyNumberFormat="1"/>
    <xf numFmtId="10" fontId="0" fillId="0" borderId="0" xfId="0" applyNumberFormat="1"/>
    <xf numFmtId="165" fontId="0" fillId="0" borderId="0" xfId="0" applyNumberFormat="1"/>
    <xf numFmtId="166" fontId="1" fillId="0" borderId="0" xfId="0" applyNumberFormat="1" applyFont="1"/>
    <xf numFmtId="2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4" fontId="9" fillId="5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17" xfId="0" applyFill="1" applyBorder="1"/>
    <xf numFmtId="0" fontId="0" fillId="0" borderId="17" xfId="0" applyBorder="1"/>
    <xf numFmtId="2" fontId="9" fillId="0" borderId="17" xfId="0" applyNumberFormat="1" applyFont="1" applyFill="1" applyBorder="1"/>
    <xf numFmtId="0" fontId="9" fillId="0" borderId="1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7" fillId="3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2" fillId="4" borderId="0" xfId="0" applyFont="1" applyFill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23</xdr:row>
      <xdr:rowOff>168275</xdr:rowOff>
    </xdr:from>
    <xdr:to>
      <xdr:col>22</xdr:col>
      <xdr:colOff>73951</xdr:colOff>
      <xdr:row>32</xdr:row>
      <xdr:rowOff>7618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BECA6-8532-4524-953C-4F74DA8D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4435475"/>
          <a:ext cx="6171363" cy="1679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2</xdr:row>
      <xdr:rowOff>17589</xdr:rowOff>
    </xdr:from>
    <xdr:to>
      <xdr:col>20</xdr:col>
      <xdr:colOff>9525</xdr:colOff>
      <xdr:row>14</xdr:row>
      <xdr:rowOff>107382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DEC73-CE38-4660-9233-C5EDB858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725" y="379539"/>
          <a:ext cx="5286375" cy="245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38</xdr:row>
      <xdr:rowOff>95250</xdr:rowOff>
    </xdr:from>
    <xdr:to>
      <xdr:col>9</xdr:col>
      <xdr:colOff>789392</xdr:colOff>
      <xdr:row>63</xdr:row>
      <xdr:rowOff>126179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F20E77-B7AD-44CD-8895-502EA9D37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6981825"/>
          <a:ext cx="6898092" cy="4552129"/>
        </a:xfrm>
        <a:prstGeom prst="rect">
          <a:avLst/>
        </a:prstGeom>
      </xdr:spPr>
    </xdr:pic>
    <xdr:clientData/>
  </xdr:twoCellAnchor>
  <xdr:twoCellAnchor editAs="oneCell">
    <xdr:from>
      <xdr:col>10</xdr:col>
      <xdr:colOff>434975</xdr:colOff>
      <xdr:row>38</xdr:row>
      <xdr:rowOff>37105</xdr:rowOff>
    </xdr:from>
    <xdr:to>
      <xdr:col>16</xdr:col>
      <xdr:colOff>419100</xdr:colOff>
      <xdr:row>43</xdr:row>
      <xdr:rowOff>161737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C6F818-7660-42E0-BCBB-0479DC0EA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7000" y="6923680"/>
          <a:ext cx="6819900" cy="1032682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542926</xdr:colOff>
      <xdr:row>43</xdr:row>
      <xdr:rowOff>143801</xdr:rowOff>
    </xdr:from>
    <xdr:to>
      <xdr:col>15</xdr:col>
      <xdr:colOff>266701</xdr:colOff>
      <xdr:row>52</xdr:row>
      <xdr:rowOff>117184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128AAF-D4E5-4B68-9763-917ACED22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24951" y="7935251"/>
          <a:ext cx="5949950" cy="1602158"/>
        </a:xfrm>
        <a:prstGeom prst="rect">
          <a:avLst/>
        </a:prstGeom>
      </xdr:spPr>
    </xdr:pic>
    <xdr:clientData/>
  </xdr:twoCellAnchor>
  <xdr:twoCellAnchor editAs="oneCell">
    <xdr:from>
      <xdr:col>13</xdr:col>
      <xdr:colOff>701675</xdr:colOff>
      <xdr:row>38</xdr:row>
      <xdr:rowOff>27178</xdr:rowOff>
    </xdr:from>
    <xdr:to>
      <xdr:col>22</xdr:col>
      <xdr:colOff>103536</xdr:colOff>
      <xdr:row>59</xdr:row>
      <xdr:rowOff>2451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25222A-3BC7-4BF3-8E6A-4B66B5346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03575" y="6913753"/>
          <a:ext cx="6463061" cy="37757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21</xdr:col>
      <xdr:colOff>4760821</xdr:colOff>
      <xdr:row>36</xdr:row>
      <xdr:rowOff>116604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3EECA-9E40-4821-AF12-342D9FC25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4064000"/>
          <a:ext cx="18057143" cy="2333333"/>
        </a:xfrm>
        <a:prstGeom prst="rect">
          <a:avLst/>
        </a:prstGeom>
      </xdr:spPr>
    </xdr:pic>
    <xdr:clientData/>
  </xdr:twoCellAnchor>
  <xdr:twoCellAnchor editAs="oneCell">
    <xdr:from>
      <xdr:col>9</xdr:col>
      <xdr:colOff>17319</xdr:colOff>
      <xdr:row>36</xdr:row>
      <xdr:rowOff>115455</xdr:rowOff>
    </xdr:from>
    <xdr:to>
      <xdr:col>21</xdr:col>
      <xdr:colOff>2178340</xdr:colOff>
      <xdr:row>45</xdr:row>
      <xdr:rowOff>41135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235A92-A02A-4F2D-9513-D68E6FF0E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1" y="6396182"/>
          <a:ext cx="11620500" cy="1588224"/>
        </a:xfrm>
        <a:prstGeom prst="rect">
          <a:avLst/>
        </a:prstGeom>
      </xdr:spPr>
    </xdr:pic>
    <xdr:clientData/>
  </xdr:twoCellAnchor>
  <xdr:twoCellAnchor editAs="oneCell">
    <xdr:from>
      <xdr:col>9</xdr:col>
      <xdr:colOff>23091</xdr:colOff>
      <xdr:row>44</xdr:row>
      <xdr:rowOff>109683</xdr:rowOff>
    </xdr:from>
    <xdr:to>
      <xdr:col>21</xdr:col>
      <xdr:colOff>2178339</xdr:colOff>
      <xdr:row>57</xdr:row>
      <xdr:rowOff>1461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E190A5-CE9D-4AD9-A05F-2555AD531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21273" y="7868228"/>
          <a:ext cx="11614727" cy="2283994"/>
        </a:xfrm>
        <a:prstGeom prst="rect">
          <a:avLst/>
        </a:prstGeom>
      </xdr:spPr>
    </xdr:pic>
    <xdr:clientData/>
  </xdr:twoCellAnchor>
  <xdr:twoCellAnchor editAs="oneCell">
    <xdr:from>
      <xdr:col>21</xdr:col>
      <xdr:colOff>4325795</xdr:colOff>
      <xdr:row>26</xdr:row>
      <xdr:rowOff>45049</xdr:rowOff>
    </xdr:from>
    <xdr:to>
      <xdr:col>24</xdr:col>
      <xdr:colOff>551006</xdr:colOff>
      <xdr:row>33</xdr:row>
      <xdr:rowOff>159079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452914-E9A5-4FB0-A125-30DF2F886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62636" y="4409231"/>
          <a:ext cx="2251939" cy="1390091"/>
        </a:xfrm>
        <a:prstGeom prst="rect">
          <a:avLst/>
        </a:prstGeom>
      </xdr:spPr>
    </xdr:pic>
    <xdr:clientData/>
  </xdr:twoCellAnchor>
  <xdr:twoCellAnchor editAs="oneCell">
    <xdr:from>
      <xdr:col>8</xdr:col>
      <xdr:colOff>1010227</xdr:colOff>
      <xdr:row>56</xdr:row>
      <xdr:rowOff>144318</xdr:rowOff>
    </xdr:from>
    <xdr:to>
      <xdr:col>21</xdr:col>
      <xdr:colOff>2283190</xdr:colOff>
      <xdr:row>71</xdr:row>
      <xdr:rowOff>116241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71DE47B-57AA-421B-8A52-BF1F64E6B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611591" y="10119591"/>
          <a:ext cx="11737185" cy="2742832"/>
        </a:xfrm>
        <a:prstGeom prst="rect">
          <a:avLst/>
        </a:prstGeom>
      </xdr:spPr>
    </xdr:pic>
    <xdr:clientData/>
  </xdr:twoCellAnchor>
  <xdr:twoCellAnchor editAs="oneCell">
    <xdr:from>
      <xdr:col>8</xdr:col>
      <xdr:colOff>1021773</xdr:colOff>
      <xdr:row>71</xdr:row>
      <xdr:rowOff>40410</xdr:rowOff>
    </xdr:from>
    <xdr:to>
      <xdr:col>21</xdr:col>
      <xdr:colOff>2288498</xdr:colOff>
      <xdr:row>83</xdr:row>
      <xdr:rowOff>46183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725DA4-21AD-4C81-956A-00C9AA0BE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23137" y="12786592"/>
          <a:ext cx="11737297" cy="2222500"/>
        </a:xfrm>
        <a:prstGeom prst="rect">
          <a:avLst/>
        </a:prstGeom>
      </xdr:spPr>
    </xdr:pic>
    <xdr:clientData/>
  </xdr:twoCellAnchor>
  <xdr:twoCellAnchor editAs="oneCell">
    <xdr:from>
      <xdr:col>21</xdr:col>
      <xdr:colOff>2131076</xdr:colOff>
      <xdr:row>34</xdr:row>
      <xdr:rowOff>164521</xdr:rowOff>
    </xdr:from>
    <xdr:to>
      <xdr:col>24</xdr:col>
      <xdr:colOff>530513</xdr:colOff>
      <xdr:row>41</xdr:row>
      <xdr:rowOff>161251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F7EACDE-6B05-47ED-B0C0-E5CD4848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267917" y="5983430"/>
          <a:ext cx="4426165" cy="1269616"/>
        </a:xfrm>
        <a:prstGeom prst="rect">
          <a:avLst/>
        </a:prstGeom>
      </xdr:spPr>
    </xdr:pic>
    <xdr:clientData/>
  </xdr:twoCellAnchor>
  <xdr:twoCellAnchor editAs="oneCell">
    <xdr:from>
      <xdr:col>21</xdr:col>
      <xdr:colOff>2020744</xdr:colOff>
      <xdr:row>42</xdr:row>
      <xdr:rowOff>164081</xdr:rowOff>
    </xdr:from>
    <xdr:to>
      <xdr:col>25</xdr:col>
      <xdr:colOff>104775</xdr:colOff>
      <xdr:row>59</xdr:row>
      <xdr:rowOff>168938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77B6370-1FFC-44C7-BFB5-22FAA04DC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157585" y="7437717"/>
          <a:ext cx="4710545" cy="3096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a-eeac.org/wp-content/uploads/RES28_Assembled_Report_2018-10-05.pdf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s://ma-eeac.org/wp-content/uploads/RES23_Task2_AC-HP_Cost_Study_Results_Memo_v3_clean.pdf" TargetMode="External"/><Relationship Id="rId1" Type="http://schemas.openxmlformats.org/officeDocument/2006/relationships/hyperlink" Target="https://ma-eeac.org/wp-content/uploads/RES19_Assembled_Report_2018-09-27.pdf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ia.gov/outlooks/aeo/data/brows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5B5A-69F7-4FBF-AEF3-963DEC793BC3}">
  <sheetPr>
    <tabColor theme="4" tint="0.59999389629810485"/>
  </sheetPr>
  <dimension ref="A2:AB60"/>
  <sheetViews>
    <sheetView topLeftCell="A3" zoomScale="80" zoomScaleNormal="80" workbookViewId="0">
      <selection activeCell="Y6" sqref="Y6"/>
    </sheetView>
  </sheetViews>
  <sheetFormatPr baseColWidth="10" defaultColWidth="8.83203125" defaultRowHeight="15" x14ac:dyDescent="0.2"/>
  <cols>
    <col min="3" max="3" width="6.5" customWidth="1"/>
    <col min="4" max="4" width="8" hidden="1" customWidth="1"/>
    <col min="5" max="5" width="9.1640625" customWidth="1"/>
    <col min="6" max="6" width="10.33203125" customWidth="1"/>
    <col min="7" max="7" width="12.83203125" customWidth="1"/>
    <col min="8" max="8" width="13.5" customWidth="1"/>
    <col min="9" max="9" width="13.33203125" customWidth="1"/>
    <col min="10" max="10" width="11.5" customWidth="1"/>
    <col min="11" max="11" width="10" customWidth="1"/>
    <col min="12" max="14" width="12.5" customWidth="1"/>
    <col min="15" max="15" width="17.6640625" customWidth="1"/>
    <col min="16" max="18" width="11.6640625" customWidth="1"/>
    <col min="19" max="19" width="7.5" customWidth="1"/>
    <col min="20" max="23" width="8.6640625" customWidth="1"/>
    <col min="24" max="26" width="10.83203125" customWidth="1"/>
  </cols>
  <sheetData>
    <row r="2" spans="2:26" x14ac:dyDescent="0.2">
      <c r="B2" s="11" t="s">
        <v>115</v>
      </c>
    </row>
    <row r="3" spans="2:26" ht="63.5" customHeight="1" x14ac:dyDescent="0.2">
      <c r="B3" s="87" t="s">
        <v>12</v>
      </c>
      <c r="C3" s="87" t="s">
        <v>39</v>
      </c>
      <c r="D3" s="87" t="s">
        <v>94</v>
      </c>
      <c r="E3" s="87" t="s">
        <v>131</v>
      </c>
      <c r="F3" s="87" t="s">
        <v>47</v>
      </c>
      <c r="G3" s="87" t="s">
        <v>56</v>
      </c>
      <c r="H3" s="87" t="s">
        <v>30</v>
      </c>
      <c r="I3" s="87" t="s">
        <v>122</v>
      </c>
      <c r="J3" s="87" t="s">
        <v>38</v>
      </c>
      <c r="K3" s="87" t="s">
        <v>37</v>
      </c>
      <c r="L3" s="88" t="s">
        <v>40</v>
      </c>
      <c r="M3" s="88" t="s">
        <v>125</v>
      </c>
      <c r="N3" s="88" t="s">
        <v>126</v>
      </c>
      <c r="O3" s="88" t="s">
        <v>41</v>
      </c>
      <c r="P3" s="83" t="s">
        <v>42</v>
      </c>
      <c r="Q3" s="83" t="s">
        <v>127</v>
      </c>
      <c r="R3" s="83" t="s">
        <v>128</v>
      </c>
      <c r="S3" s="83" t="s">
        <v>54</v>
      </c>
      <c r="T3" s="88" t="s">
        <v>93</v>
      </c>
      <c r="U3" s="88" t="s">
        <v>98</v>
      </c>
      <c r="V3" s="89" t="s">
        <v>113</v>
      </c>
      <c r="W3" s="84" t="s">
        <v>129</v>
      </c>
      <c r="X3" s="84" t="s">
        <v>55</v>
      </c>
      <c r="Y3" s="84" t="s">
        <v>130</v>
      </c>
      <c r="Z3" s="87" t="s">
        <v>12</v>
      </c>
    </row>
    <row r="4" spans="2:26" ht="27" customHeight="1" x14ac:dyDescent="0.2">
      <c r="B4" s="1" t="s">
        <v>13</v>
      </c>
      <c r="C4" s="2" t="s">
        <v>0</v>
      </c>
      <c r="D4" s="2">
        <v>18</v>
      </c>
      <c r="E4" s="1">
        <v>1</v>
      </c>
      <c r="F4" s="1">
        <v>20</v>
      </c>
      <c r="G4" s="1">
        <v>10.6</v>
      </c>
      <c r="H4" s="2" t="s">
        <v>31</v>
      </c>
      <c r="I4" s="2" t="s">
        <v>121</v>
      </c>
      <c r="J4" s="2" t="s">
        <v>48</v>
      </c>
      <c r="K4" s="7" t="s">
        <v>50</v>
      </c>
      <c r="L4" s="50">
        <f>'Cost Data'!T3</f>
        <v>5203.8599999999997</v>
      </c>
      <c r="M4" s="50">
        <f t="shared" ref="M4:M21" si="0">L4*0.8</f>
        <v>4163.0879999999997</v>
      </c>
      <c r="N4" s="50">
        <f t="shared" ref="N4:N21" si="1">L4*1.2</f>
        <v>6244.6319999999996</v>
      </c>
      <c r="O4" s="48">
        <f>'Cost Data'!Q3</f>
        <v>848.54399999999998</v>
      </c>
      <c r="P4" s="51">
        <f t="shared" ref="P4:P21" si="2">IF(L4-O4&gt;0,L4-O4,0)</f>
        <v>4355.3159999999998</v>
      </c>
      <c r="Q4" s="51">
        <f t="shared" ref="Q4:Q21" si="3">IF(M4-O4&gt;0,M4-O4,0)</f>
        <v>3314.5439999999999</v>
      </c>
      <c r="R4" s="51">
        <f t="shared" ref="R4:R21" si="4">IF(N4-O4&gt;0,N4-O4,0)</f>
        <v>5396.0879999999997</v>
      </c>
      <c r="S4" s="51">
        <f>1250*E4</f>
        <v>1250</v>
      </c>
      <c r="T4" s="52">
        <f>'Baseline Consumption'!O4-'HP Consumption'!L4</f>
        <v>-498.64219554030882</v>
      </c>
      <c r="U4" s="53">
        <f>'Baseline Consumption'!N4</f>
        <v>8.0250000000000004</v>
      </c>
      <c r="V4" s="61">
        <f>(T4*'Energy Prices'!$D$39)+(U4*'Energy Prices'!$I$39)</f>
        <v>1373.2677359205245</v>
      </c>
      <c r="W4" s="62">
        <f t="shared" ref="W4:W21" si="5">(V4+S4)/Q4</f>
        <v>0.7914415183266611</v>
      </c>
      <c r="X4" s="62">
        <f t="shared" ref="X4:X21" si="6">(V4+S4)/P4</f>
        <v>0.60231398500603051</v>
      </c>
      <c r="Y4" s="62">
        <f t="shared" ref="Y4:Y21" si="7">(V4+S4)/R4</f>
        <v>0.48614250470350456</v>
      </c>
      <c r="Z4" s="1" t="s">
        <v>13</v>
      </c>
    </row>
    <row r="5" spans="2:26" ht="27" customHeight="1" x14ac:dyDescent="0.2">
      <c r="B5" s="1" t="s">
        <v>14</v>
      </c>
      <c r="C5" s="2" t="s">
        <v>0</v>
      </c>
      <c r="D5" s="2">
        <v>18</v>
      </c>
      <c r="E5" s="1">
        <v>2</v>
      </c>
      <c r="F5" s="1">
        <v>17.600000000000001</v>
      </c>
      <c r="G5" s="1">
        <v>10.6</v>
      </c>
      <c r="H5" s="2" t="s">
        <v>31</v>
      </c>
      <c r="I5" s="2" t="s">
        <v>121</v>
      </c>
      <c r="J5" s="2" t="s">
        <v>48</v>
      </c>
      <c r="K5" s="7" t="s">
        <v>50</v>
      </c>
      <c r="L5" s="50">
        <f>'Cost Data'!T4</f>
        <v>10407.719999999999</v>
      </c>
      <c r="M5" s="50">
        <f t="shared" si="0"/>
        <v>8326.1759999999995</v>
      </c>
      <c r="N5" s="50">
        <f t="shared" si="1"/>
        <v>12489.263999999999</v>
      </c>
      <c r="O5" s="48">
        <f>'Cost Data'!Q4</f>
        <v>1697.088</v>
      </c>
      <c r="P5" s="51">
        <f t="shared" si="2"/>
        <v>8710.6319999999996</v>
      </c>
      <c r="Q5" s="51">
        <f t="shared" si="3"/>
        <v>6629.0879999999997</v>
      </c>
      <c r="R5" s="51">
        <f t="shared" si="4"/>
        <v>10792.175999999999</v>
      </c>
      <c r="S5" s="51">
        <f>1250*E5</f>
        <v>2500</v>
      </c>
      <c r="T5" s="52">
        <f>'Baseline Consumption'!O5-'HP Consumption'!L5</f>
        <v>-1032.9571183533449</v>
      </c>
      <c r="U5" s="53">
        <f>'Baseline Consumption'!N5</f>
        <v>16.05</v>
      </c>
      <c r="V5" s="61">
        <f>(T5*'Energy Prices'!$D$39)+(U5*'Energy Prices'!$I$39)</f>
        <v>2644.2609642401176</v>
      </c>
      <c r="W5" s="62">
        <f t="shared" si="5"/>
        <v>0.7760133768385814</v>
      </c>
      <c r="X5" s="62">
        <f t="shared" si="6"/>
        <v>0.5905726432066144</v>
      </c>
      <c r="Y5" s="62">
        <f t="shared" si="7"/>
        <v>0.47666577752624845</v>
      </c>
      <c r="Z5" s="1" t="s">
        <v>14</v>
      </c>
    </row>
    <row r="6" spans="2:26" ht="27" customHeight="1" x14ac:dyDescent="0.2">
      <c r="B6" s="1" t="s">
        <v>15</v>
      </c>
      <c r="C6" s="2" t="s">
        <v>0</v>
      </c>
      <c r="D6" s="2">
        <v>18</v>
      </c>
      <c r="E6" s="1">
        <v>1</v>
      </c>
      <c r="F6" s="1">
        <v>20</v>
      </c>
      <c r="G6" s="1">
        <v>10.6</v>
      </c>
      <c r="H6" s="2" t="s">
        <v>31</v>
      </c>
      <c r="I6" s="2" t="s">
        <v>121</v>
      </c>
      <c r="J6" s="2" t="s">
        <v>48</v>
      </c>
      <c r="K6" s="7" t="s">
        <v>51</v>
      </c>
      <c r="L6" s="50">
        <f>'Cost Data'!T5</f>
        <v>5203.8599999999997</v>
      </c>
      <c r="M6" s="50">
        <f t="shared" si="0"/>
        <v>4163.0879999999997</v>
      </c>
      <c r="N6" s="50">
        <f t="shared" si="1"/>
        <v>6244.6319999999996</v>
      </c>
      <c r="O6" s="48">
        <f>'Cost Data'!Q5</f>
        <v>848.54399999999998</v>
      </c>
      <c r="P6" s="51">
        <f t="shared" si="2"/>
        <v>4355.3159999999998</v>
      </c>
      <c r="Q6" s="51">
        <f t="shared" si="3"/>
        <v>3314.5439999999999</v>
      </c>
      <c r="R6" s="51">
        <f t="shared" si="4"/>
        <v>5396.0879999999997</v>
      </c>
      <c r="S6" s="51">
        <f>1000*E6</f>
        <v>1000</v>
      </c>
      <c r="T6" s="52">
        <f>'Baseline Consumption'!O6-'HP Consumption'!L6</f>
        <v>1382.9521772615669</v>
      </c>
      <c r="U6" s="53">
        <f>'Baseline Consumption'!N6</f>
        <v>0</v>
      </c>
      <c r="V6" s="61">
        <f>(T6*'Energy Prices'!$D$39)+(U6*'Energy Prices'!$I$39)</f>
        <v>3964.954848663855</v>
      </c>
      <c r="W6" s="62">
        <f t="shared" si="5"/>
        <v>1.4979299863461928</v>
      </c>
      <c r="X6" s="62">
        <f t="shared" si="6"/>
        <v>1.139975801678651</v>
      </c>
      <c r="Y6" s="62">
        <f t="shared" si="7"/>
        <v>0.92010264633635608</v>
      </c>
      <c r="Z6" s="1" t="s">
        <v>15</v>
      </c>
    </row>
    <row r="7" spans="2:26" ht="27" customHeight="1" x14ac:dyDescent="0.2">
      <c r="B7" s="1" t="s">
        <v>16</v>
      </c>
      <c r="C7" s="2" t="s">
        <v>0</v>
      </c>
      <c r="D7" s="2">
        <v>18</v>
      </c>
      <c r="E7" s="1">
        <v>2</v>
      </c>
      <c r="F7" s="1">
        <v>17.600000000000001</v>
      </c>
      <c r="G7" s="1">
        <v>10.6</v>
      </c>
      <c r="H7" s="2" t="s">
        <v>31</v>
      </c>
      <c r="I7" s="2" t="s">
        <v>121</v>
      </c>
      <c r="J7" s="2" t="s">
        <v>48</v>
      </c>
      <c r="K7" s="7" t="s">
        <v>51</v>
      </c>
      <c r="L7" s="50">
        <f>'Cost Data'!T6</f>
        <v>10407.719999999999</v>
      </c>
      <c r="M7" s="50">
        <f t="shared" si="0"/>
        <v>8326.1759999999995</v>
      </c>
      <c r="N7" s="50">
        <f t="shared" si="1"/>
        <v>12489.263999999999</v>
      </c>
      <c r="O7" s="48">
        <f>'Cost Data'!Q6</f>
        <v>1697.088</v>
      </c>
      <c r="P7" s="51">
        <f t="shared" si="2"/>
        <v>8710.6319999999996</v>
      </c>
      <c r="Q7" s="51">
        <f t="shared" si="3"/>
        <v>6629.0879999999997</v>
      </c>
      <c r="R7" s="51">
        <f t="shared" si="4"/>
        <v>10792.175999999999</v>
      </c>
      <c r="S7" s="51">
        <f>1000*E7</f>
        <v>2000</v>
      </c>
      <c r="T7" s="52">
        <f>'Baseline Consumption'!O7-'HP Consumption'!L7</f>
        <v>2730.2316272504067</v>
      </c>
      <c r="U7" s="53">
        <f>'Baseline Consumption'!N7</f>
        <v>0</v>
      </c>
      <c r="V7" s="61">
        <f>(T7*'Energy Prices'!$D$39)+(U7*'Energy Prices'!$I$39)</f>
        <v>7827.6351897267787</v>
      </c>
      <c r="W7" s="62">
        <f t="shared" si="5"/>
        <v>1.4825018448581129</v>
      </c>
      <c r="X7" s="62">
        <f t="shared" si="6"/>
        <v>1.1282344598792347</v>
      </c>
      <c r="Y7" s="62">
        <f t="shared" si="7"/>
        <v>0.91062591915909996</v>
      </c>
      <c r="Z7" s="1" t="s">
        <v>16</v>
      </c>
    </row>
    <row r="8" spans="2:26" ht="27" customHeight="1" x14ac:dyDescent="0.2">
      <c r="B8" s="1" t="s">
        <v>17</v>
      </c>
      <c r="C8" s="2" t="s">
        <v>0</v>
      </c>
      <c r="D8" s="2">
        <v>18</v>
      </c>
      <c r="E8" s="1">
        <v>1</v>
      </c>
      <c r="F8" s="1">
        <v>20</v>
      </c>
      <c r="G8" s="1">
        <v>10.6</v>
      </c>
      <c r="H8" s="2" t="s">
        <v>31</v>
      </c>
      <c r="I8" s="2" t="s">
        <v>121</v>
      </c>
      <c r="J8" s="2" t="s">
        <v>5</v>
      </c>
      <c r="K8" s="7" t="s">
        <v>51</v>
      </c>
      <c r="L8" s="50">
        <f>'Cost Data'!T7</f>
        <v>5203.8599999999997</v>
      </c>
      <c r="M8" s="50">
        <f t="shared" si="0"/>
        <v>4163.0879999999997</v>
      </c>
      <c r="N8" s="50">
        <f t="shared" si="1"/>
        <v>6244.6319999999996</v>
      </c>
      <c r="O8" s="48">
        <f>'Cost Data'!Q7</f>
        <v>0</v>
      </c>
      <c r="P8" s="51">
        <f t="shared" si="2"/>
        <v>5203.8599999999997</v>
      </c>
      <c r="Q8" s="51">
        <f t="shared" si="3"/>
        <v>4163.0879999999997</v>
      </c>
      <c r="R8" s="51">
        <f t="shared" si="4"/>
        <v>6244.6319999999996</v>
      </c>
      <c r="S8" s="51">
        <f>1000*E8</f>
        <v>1000</v>
      </c>
      <c r="T8" s="52">
        <f>'Baseline Consumption'!O8-'HP Consumption'!L8</f>
        <v>1145.1339954433852</v>
      </c>
      <c r="U8" s="53">
        <f>'Baseline Consumption'!N8</f>
        <v>0</v>
      </c>
      <c r="V8" s="61">
        <f>(T8*'Energy Prices'!$D$39)+(U8*'Energy Prices'!$I$39)</f>
        <v>3283.1247979909767</v>
      </c>
      <c r="W8" s="62">
        <f t="shared" si="5"/>
        <v>1.0288335961168673</v>
      </c>
      <c r="X8" s="62">
        <f t="shared" si="6"/>
        <v>0.82306687689349389</v>
      </c>
      <c r="Y8" s="62">
        <f t="shared" si="7"/>
        <v>0.6858890640779115</v>
      </c>
      <c r="Z8" s="1" t="s">
        <v>17</v>
      </c>
    </row>
    <row r="9" spans="2:26" ht="27" customHeight="1" x14ac:dyDescent="0.2">
      <c r="B9" s="1" t="s">
        <v>18</v>
      </c>
      <c r="C9" s="7" t="s">
        <v>0</v>
      </c>
      <c r="D9" s="2">
        <v>18</v>
      </c>
      <c r="E9" s="49">
        <v>2</v>
      </c>
      <c r="F9" s="1">
        <v>17.600000000000001</v>
      </c>
      <c r="G9" s="1">
        <v>10.6</v>
      </c>
      <c r="H9" s="7" t="s">
        <v>31</v>
      </c>
      <c r="I9" s="2" t="s">
        <v>121</v>
      </c>
      <c r="J9" s="2" t="s">
        <v>5</v>
      </c>
      <c r="K9" s="7" t="s">
        <v>51</v>
      </c>
      <c r="L9" s="50">
        <f>'Cost Data'!T8</f>
        <v>10407.719999999999</v>
      </c>
      <c r="M9" s="50">
        <f t="shared" si="0"/>
        <v>8326.1759999999995</v>
      </c>
      <c r="N9" s="50">
        <f t="shared" si="1"/>
        <v>12489.263999999999</v>
      </c>
      <c r="O9" s="48">
        <f>'Cost Data'!Q8</f>
        <v>0</v>
      </c>
      <c r="P9" s="51">
        <f t="shared" si="2"/>
        <v>10407.719999999999</v>
      </c>
      <c r="Q9" s="51">
        <f t="shared" si="3"/>
        <v>8326.1759999999995</v>
      </c>
      <c r="R9" s="51">
        <f t="shared" si="4"/>
        <v>12489.263999999999</v>
      </c>
      <c r="S9" s="51">
        <f>1000*E9</f>
        <v>2000</v>
      </c>
      <c r="T9" s="52">
        <f>'Baseline Consumption'!O9-'HP Consumption'!L9</f>
        <v>2254.5952636140432</v>
      </c>
      <c r="U9" s="53">
        <f>'Baseline Consumption'!N9</f>
        <v>0</v>
      </c>
      <c r="V9" s="61">
        <f>(T9*'Energy Prices'!$D$39)+(U9*'Energy Prices'!$I$39)</f>
        <v>6463.975088381022</v>
      </c>
      <c r="W9" s="62">
        <f t="shared" si="5"/>
        <v>1.0165501051600427</v>
      </c>
      <c r="X9" s="62">
        <f t="shared" si="6"/>
        <v>0.81324008412803417</v>
      </c>
      <c r="Y9" s="62">
        <f t="shared" si="7"/>
        <v>0.67770007010669508</v>
      </c>
      <c r="Z9" s="1" t="s">
        <v>18</v>
      </c>
    </row>
    <row r="10" spans="2:26" ht="27" customHeight="1" x14ac:dyDescent="0.2">
      <c r="B10" s="1" t="s">
        <v>43</v>
      </c>
      <c r="C10" s="7" t="s">
        <v>0</v>
      </c>
      <c r="D10" s="2">
        <v>18</v>
      </c>
      <c r="E10" s="49">
        <v>3</v>
      </c>
      <c r="F10" s="1">
        <v>17.600000000000001</v>
      </c>
      <c r="G10" s="1">
        <v>10.6</v>
      </c>
      <c r="H10" s="7" t="s">
        <v>32</v>
      </c>
      <c r="I10" s="7" t="s">
        <v>123</v>
      </c>
      <c r="J10" s="2" t="s">
        <v>48</v>
      </c>
      <c r="K10" s="7" t="s">
        <v>50</v>
      </c>
      <c r="L10" s="50">
        <f>'Cost Data'!T9</f>
        <v>15611.579999999998</v>
      </c>
      <c r="M10" s="50">
        <f t="shared" si="0"/>
        <v>12489.263999999999</v>
      </c>
      <c r="N10" s="50">
        <f t="shared" si="1"/>
        <v>18733.895999999997</v>
      </c>
      <c r="O10" s="48">
        <f>'Cost Data'!Q9</f>
        <v>5204.1820000000007</v>
      </c>
      <c r="P10" s="51">
        <f t="shared" si="2"/>
        <v>10407.397999999997</v>
      </c>
      <c r="Q10" s="51">
        <f t="shared" si="3"/>
        <v>7285.0819999999985</v>
      </c>
      <c r="R10" s="51">
        <f t="shared" si="4"/>
        <v>13529.713999999996</v>
      </c>
      <c r="S10" s="51">
        <f>1250*E10</f>
        <v>3750</v>
      </c>
      <c r="T10" s="52">
        <f>'Baseline Consumption'!O10-'HP Consumption'!L10</f>
        <v>-2660.0017152658666</v>
      </c>
      <c r="U10" s="53">
        <f>'Baseline Consumption'!N10</f>
        <v>36.942857142857143</v>
      </c>
      <c r="V10" s="61">
        <f>(T10*'Energy Prices'!$D$39)+(U10*'Energy Prices'!$I$39)</f>
        <v>5276.7211171619274</v>
      </c>
      <c r="W10" s="62">
        <f t="shared" si="5"/>
        <v>1.2390692537382462</v>
      </c>
      <c r="X10" s="62">
        <f t="shared" si="6"/>
        <v>0.86733697675076227</v>
      </c>
      <c r="Y10" s="62">
        <f t="shared" si="7"/>
        <v>0.66717752623314353</v>
      </c>
      <c r="Z10" s="1" t="s">
        <v>43</v>
      </c>
    </row>
    <row r="11" spans="2:26" ht="27" customHeight="1" x14ac:dyDescent="0.2">
      <c r="B11" s="1" t="s">
        <v>19</v>
      </c>
      <c r="C11" s="7" t="s">
        <v>0</v>
      </c>
      <c r="D11" s="2">
        <v>18</v>
      </c>
      <c r="E11" s="49">
        <v>4</v>
      </c>
      <c r="F11" s="1">
        <v>17.600000000000001</v>
      </c>
      <c r="G11" s="1">
        <v>10.6</v>
      </c>
      <c r="H11" s="7" t="s">
        <v>32</v>
      </c>
      <c r="I11" s="7" t="s">
        <v>123</v>
      </c>
      <c r="J11" s="2" t="s">
        <v>48</v>
      </c>
      <c r="K11" s="7" t="s">
        <v>50</v>
      </c>
      <c r="L11" s="50">
        <f>'Cost Data'!T10</f>
        <v>20815.439999999999</v>
      </c>
      <c r="M11" s="50">
        <f t="shared" si="0"/>
        <v>16652.351999999999</v>
      </c>
      <c r="N11" s="50">
        <f t="shared" si="1"/>
        <v>24978.527999999998</v>
      </c>
      <c r="O11" s="48">
        <f>'Cost Data'!Q10</f>
        <v>6052.7260000000006</v>
      </c>
      <c r="P11" s="51">
        <f t="shared" si="2"/>
        <v>14762.713999999998</v>
      </c>
      <c r="Q11" s="51">
        <f t="shared" si="3"/>
        <v>10599.625999999998</v>
      </c>
      <c r="R11" s="51">
        <f t="shared" si="4"/>
        <v>18925.801999999996</v>
      </c>
      <c r="S11" s="51">
        <f>1250*E11</f>
        <v>5000</v>
      </c>
      <c r="T11" s="52">
        <f>'Baseline Consumption'!O11-'HP Consumption'!L11</f>
        <v>-3546.6689536878221</v>
      </c>
      <c r="U11" s="53">
        <f>'Baseline Consumption'!N11</f>
        <v>49.25714285714286</v>
      </c>
      <c r="V11" s="61">
        <f>(T11*'Energy Prices'!$D$39)+(U11*'Energy Prices'!$I$39)</f>
        <v>7035.628156215902</v>
      </c>
      <c r="W11" s="62">
        <f t="shared" si="5"/>
        <v>1.1354766815561137</v>
      </c>
      <c r="X11" s="62">
        <f t="shared" si="6"/>
        <v>0.81527205337825437</v>
      </c>
      <c r="Y11" s="62">
        <f t="shared" si="7"/>
        <v>0.63593755002910335</v>
      </c>
      <c r="Z11" s="1" t="s">
        <v>19</v>
      </c>
    </row>
    <row r="12" spans="2:26" ht="27" customHeight="1" x14ac:dyDescent="0.2">
      <c r="B12" s="1" t="s">
        <v>44</v>
      </c>
      <c r="C12" s="7" t="s">
        <v>0</v>
      </c>
      <c r="D12" s="2">
        <v>18</v>
      </c>
      <c r="E12" s="49">
        <v>3</v>
      </c>
      <c r="F12" s="1">
        <v>17.600000000000001</v>
      </c>
      <c r="G12" s="1">
        <v>10.6</v>
      </c>
      <c r="H12" s="7" t="s">
        <v>32</v>
      </c>
      <c r="I12" s="2" t="s">
        <v>121</v>
      </c>
      <c r="J12" s="2" t="s">
        <v>48</v>
      </c>
      <c r="K12" s="7" t="s">
        <v>51</v>
      </c>
      <c r="L12" s="50">
        <f>'Cost Data'!T11</f>
        <v>15611.579999999998</v>
      </c>
      <c r="M12" s="50">
        <f t="shared" si="0"/>
        <v>12489.263999999999</v>
      </c>
      <c r="N12" s="50">
        <f t="shared" si="1"/>
        <v>18733.895999999997</v>
      </c>
      <c r="O12" s="48">
        <f>'Cost Data'!Q11</f>
        <v>2545.6320000000001</v>
      </c>
      <c r="P12" s="51">
        <f t="shared" si="2"/>
        <v>13065.947999999999</v>
      </c>
      <c r="Q12" s="51">
        <f t="shared" si="3"/>
        <v>9943.6319999999996</v>
      </c>
      <c r="R12" s="51">
        <f t="shared" si="4"/>
        <v>16188.263999999997</v>
      </c>
      <c r="S12" s="51">
        <f>1000*E12</f>
        <v>3000</v>
      </c>
      <c r="T12" s="52">
        <f>'Baseline Consumption'!O12-'HP Consumption'!L12</f>
        <v>6434.9572530811456</v>
      </c>
      <c r="U12" s="53">
        <f>'Baseline Consumption'!N12</f>
        <v>0</v>
      </c>
      <c r="V12" s="61">
        <f>(T12*'Energy Prices'!$D$39)+(U12*'Energy Prices'!$I$39)</f>
        <v>18449.166486776525</v>
      </c>
      <c r="W12" s="62">
        <f t="shared" si="5"/>
        <v>2.1570756527168871</v>
      </c>
      <c r="X12" s="62">
        <f t="shared" si="6"/>
        <v>1.6416081318230049</v>
      </c>
      <c r="Y12" s="62">
        <f t="shared" si="7"/>
        <v>1.324982498850805</v>
      </c>
      <c r="Z12" s="1" t="s">
        <v>44</v>
      </c>
    </row>
    <row r="13" spans="2:26" ht="27" customHeight="1" x14ac:dyDescent="0.2">
      <c r="B13" s="1" t="s">
        <v>20</v>
      </c>
      <c r="C13" s="7" t="s">
        <v>0</v>
      </c>
      <c r="D13" s="2">
        <v>18</v>
      </c>
      <c r="E13" s="49">
        <v>4</v>
      </c>
      <c r="F13" s="1">
        <v>17.600000000000001</v>
      </c>
      <c r="G13" s="1">
        <v>10.6</v>
      </c>
      <c r="H13" s="7" t="s">
        <v>32</v>
      </c>
      <c r="I13" s="2" t="s">
        <v>121</v>
      </c>
      <c r="J13" s="2" t="s">
        <v>48</v>
      </c>
      <c r="K13" s="7" t="s">
        <v>51</v>
      </c>
      <c r="L13" s="50">
        <f>'Cost Data'!T12</f>
        <v>20815.439999999999</v>
      </c>
      <c r="M13" s="50">
        <f t="shared" si="0"/>
        <v>16652.351999999999</v>
      </c>
      <c r="N13" s="50">
        <f t="shared" si="1"/>
        <v>24978.527999999998</v>
      </c>
      <c r="O13" s="48">
        <f>'Cost Data'!Q12</f>
        <v>3394.1759999999999</v>
      </c>
      <c r="P13" s="51">
        <f t="shared" si="2"/>
        <v>17421.263999999999</v>
      </c>
      <c r="Q13" s="51">
        <f t="shared" si="3"/>
        <v>13258.175999999999</v>
      </c>
      <c r="R13" s="51">
        <f t="shared" si="4"/>
        <v>21584.351999999999</v>
      </c>
      <c r="S13" s="51">
        <f>1000*E13</f>
        <v>4000</v>
      </c>
      <c r="T13" s="52">
        <f>'Baseline Consumption'!O13-'HP Consumption'!L13</f>
        <v>8579.9430041081941</v>
      </c>
      <c r="U13" s="53">
        <f>'Baseline Consumption'!N13</f>
        <v>0</v>
      </c>
      <c r="V13" s="61">
        <f>(T13*'Energy Prices'!$D$39)+(U13*'Energy Prices'!$I$39)</f>
        <v>24598.888649035369</v>
      </c>
      <c r="W13" s="62">
        <f t="shared" si="5"/>
        <v>2.1570756527168875</v>
      </c>
      <c r="X13" s="62">
        <f t="shared" si="6"/>
        <v>1.6416081318230049</v>
      </c>
      <c r="Y13" s="62">
        <f t="shared" si="7"/>
        <v>1.324982498850805</v>
      </c>
      <c r="Z13" s="1" t="s">
        <v>20</v>
      </c>
    </row>
    <row r="14" spans="2:26" ht="27" customHeight="1" x14ac:dyDescent="0.2">
      <c r="B14" s="1" t="s">
        <v>33</v>
      </c>
      <c r="C14" s="7" t="s">
        <v>0</v>
      </c>
      <c r="D14" s="2">
        <v>18</v>
      </c>
      <c r="E14" s="49">
        <v>3</v>
      </c>
      <c r="F14" s="1">
        <v>17.600000000000001</v>
      </c>
      <c r="G14" s="1">
        <v>10.6</v>
      </c>
      <c r="H14" s="7" t="s">
        <v>32</v>
      </c>
      <c r="I14" s="2" t="s">
        <v>121</v>
      </c>
      <c r="J14" s="2" t="s">
        <v>5</v>
      </c>
      <c r="K14" s="7" t="s">
        <v>51</v>
      </c>
      <c r="L14" s="50">
        <f>'Cost Data'!T13</f>
        <v>15611.579999999998</v>
      </c>
      <c r="M14" s="50">
        <f t="shared" si="0"/>
        <v>12489.263999999999</v>
      </c>
      <c r="N14" s="50">
        <f t="shared" si="1"/>
        <v>18733.895999999997</v>
      </c>
      <c r="O14" s="48">
        <f>'Cost Data'!Q13</f>
        <v>0</v>
      </c>
      <c r="P14" s="51">
        <f t="shared" si="2"/>
        <v>15611.579999999998</v>
      </c>
      <c r="Q14" s="51">
        <f t="shared" si="3"/>
        <v>12489.263999999999</v>
      </c>
      <c r="R14" s="51">
        <f t="shared" si="4"/>
        <v>18733.895999999997</v>
      </c>
      <c r="S14" s="51">
        <f>1000*E14</f>
        <v>3000</v>
      </c>
      <c r="T14" s="52">
        <f>'Baseline Consumption'!O14-'HP Consumption'!L14</f>
        <v>5721.5027076265997</v>
      </c>
      <c r="U14" s="53">
        <f>'Baseline Consumption'!N14</f>
        <v>0</v>
      </c>
      <c r="V14" s="61">
        <f>(T14*'Energy Prices'!$D$39)+(U14*'Energy Prices'!$I$39)</f>
        <v>16403.676334757889</v>
      </c>
      <c r="W14" s="62">
        <f t="shared" si="5"/>
        <v>1.5536284872157311</v>
      </c>
      <c r="X14" s="62">
        <f t="shared" si="6"/>
        <v>1.2429027897725848</v>
      </c>
      <c r="Y14" s="62">
        <f t="shared" si="7"/>
        <v>1.0357523248104874</v>
      </c>
      <c r="Z14" s="1" t="s">
        <v>33</v>
      </c>
    </row>
    <row r="15" spans="2:26" ht="27" customHeight="1" x14ac:dyDescent="0.2">
      <c r="B15" s="1" t="s">
        <v>45</v>
      </c>
      <c r="C15" s="7" t="s">
        <v>0</v>
      </c>
      <c r="D15" s="2">
        <v>18</v>
      </c>
      <c r="E15" s="49">
        <v>4</v>
      </c>
      <c r="F15" s="1">
        <v>17.600000000000001</v>
      </c>
      <c r="G15" s="1">
        <v>10.6</v>
      </c>
      <c r="H15" s="7" t="s">
        <v>32</v>
      </c>
      <c r="I15" s="2" t="s">
        <v>121</v>
      </c>
      <c r="J15" s="2" t="s">
        <v>5</v>
      </c>
      <c r="K15" s="7" t="s">
        <v>51</v>
      </c>
      <c r="L15" s="50">
        <f>'Cost Data'!T14</f>
        <v>20815.439999999999</v>
      </c>
      <c r="M15" s="50">
        <f t="shared" si="0"/>
        <v>16652.351999999999</v>
      </c>
      <c r="N15" s="50">
        <f t="shared" si="1"/>
        <v>24978.527999999998</v>
      </c>
      <c r="O15" s="48">
        <f>'Cost Data'!Q14</f>
        <v>0</v>
      </c>
      <c r="P15" s="51">
        <f t="shared" si="2"/>
        <v>20815.439999999999</v>
      </c>
      <c r="Q15" s="51">
        <f t="shared" si="3"/>
        <v>16652.351999999999</v>
      </c>
      <c r="R15" s="51">
        <f t="shared" si="4"/>
        <v>24978.527999999998</v>
      </c>
      <c r="S15" s="51">
        <f>1000*E15</f>
        <v>4000</v>
      </c>
      <c r="T15" s="52">
        <f>'Baseline Consumption'!O15-'HP Consumption'!L15</f>
        <v>7628.6702768354653</v>
      </c>
      <c r="U15" s="53">
        <f>'Baseline Consumption'!N15</f>
        <v>0</v>
      </c>
      <c r="V15" s="61">
        <f>(T15*'Energy Prices'!$D$39)+(U15*'Energy Prices'!$I$39)</f>
        <v>21871.568446343848</v>
      </c>
      <c r="W15" s="62">
        <f t="shared" si="5"/>
        <v>1.5536284872157309</v>
      </c>
      <c r="X15" s="62">
        <f t="shared" si="6"/>
        <v>1.2429027897725846</v>
      </c>
      <c r="Y15" s="62">
        <f t="shared" si="7"/>
        <v>1.0357523248104872</v>
      </c>
      <c r="Z15" s="1" t="s">
        <v>45</v>
      </c>
    </row>
    <row r="16" spans="2:26" ht="27" customHeight="1" x14ac:dyDescent="0.2">
      <c r="B16" s="1" t="s">
        <v>34</v>
      </c>
      <c r="C16" s="7" t="s">
        <v>147</v>
      </c>
      <c r="D16" s="2">
        <v>18</v>
      </c>
      <c r="E16" s="49">
        <v>3</v>
      </c>
      <c r="F16" s="1">
        <v>17.600000000000001</v>
      </c>
      <c r="G16" s="1">
        <v>10.6</v>
      </c>
      <c r="H16" s="7" t="s">
        <v>32</v>
      </c>
      <c r="I16" s="7" t="s">
        <v>123</v>
      </c>
      <c r="J16" s="2" t="s">
        <v>49</v>
      </c>
      <c r="K16" s="7" t="s">
        <v>50</v>
      </c>
      <c r="L16" s="50">
        <f>'Cost Data'!T15</f>
        <v>15099</v>
      </c>
      <c r="M16" s="50">
        <f t="shared" si="0"/>
        <v>12079.2</v>
      </c>
      <c r="N16" s="50">
        <f t="shared" si="1"/>
        <v>18118.8</v>
      </c>
      <c r="O16" s="48">
        <f>'Cost Data'!Q15</f>
        <v>4461.8999999999996</v>
      </c>
      <c r="P16" s="51">
        <f t="shared" si="2"/>
        <v>10637.1</v>
      </c>
      <c r="Q16" s="51">
        <f t="shared" si="3"/>
        <v>7617.3000000000011</v>
      </c>
      <c r="R16" s="51">
        <f t="shared" si="4"/>
        <v>13656.9</v>
      </c>
      <c r="S16" s="51">
        <f>1250*E16</f>
        <v>3750</v>
      </c>
      <c r="T16" s="52">
        <f>'Baseline Consumption'!O16-'HP Consumption'!L16</f>
        <v>-2624.2849320490832</v>
      </c>
      <c r="U16" s="53">
        <f>'Baseline Consumption'!N16</f>
        <v>36.942857142857143</v>
      </c>
      <c r="V16" s="61">
        <f>(T16*'Energy Prices'!$D$39)+(U16*'Energy Prices'!$I$39)</f>
        <v>5379.1219341406304</v>
      </c>
      <c r="W16" s="62">
        <f t="shared" si="5"/>
        <v>1.1984721534061451</v>
      </c>
      <c r="X16" s="62">
        <f t="shared" si="6"/>
        <v>0.85823409896876313</v>
      </c>
      <c r="Y16" s="62">
        <f t="shared" si="7"/>
        <v>0.66846223770699287</v>
      </c>
      <c r="Z16" s="1" t="s">
        <v>34</v>
      </c>
    </row>
    <row r="17" spans="2:28" ht="27" customHeight="1" x14ac:dyDescent="0.2">
      <c r="B17" s="1" t="s">
        <v>46</v>
      </c>
      <c r="C17" s="7" t="s">
        <v>147</v>
      </c>
      <c r="D17" s="2">
        <v>18</v>
      </c>
      <c r="E17" s="49">
        <v>4</v>
      </c>
      <c r="F17" s="1">
        <v>17.600000000000001</v>
      </c>
      <c r="G17" s="1">
        <v>10.6</v>
      </c>
      <c r="H17" s="7" t="s">
        <v>32</v>
      </c>
      <c r="I17" s="7" t="s">
        <v>123</v>
      </c>
      <c r="J17" s="2" t="s">
        <v>49</v>
      </c>
      <c r="K17" s="7" t="s">
        <v>50</v>
      </c>
      <c r="L17" s="50">
        <f>'Cost Data'!T16</f>
        <v>20132</v>
      </c>
      <c r="M17" s="50">
        <f t="shared" si="0"/>
        <v>16105.6</v>
      </c>
      <c r="N17" s="50">
        <f t="shared" si="1"/>
        <v>24158.399999999998</v>
      </c>
      <c r="O17" s="48">
        <f>'Cost Data'!Q16</f>
        <v>5063.0166666666664</v>
      </c>
      <c r="P17" s="51">
        <f t="shared" si="2"/>
        <v>15068.983333333334</v>
      </c>
      <c r="Q17" s="51">
        <f t="shared" si="3"/>
        <v>11042.583333333334</v>
      </c>
      <c r="R17" s="51">
        <f t="shared" si="4"/>
        <v>19095.383333333331</v>
      </c>
      <c r="S17" s="51">
        <f>1250*E17</f>
        <v>5000</v>
      </c>
      <c r="T17" s="52">
        <f>'Baseline Consumption'!O17-'HP Consumption'!L17</f>
        <v>-3499.0465760654442</v>
      </c>
      <c r="U17" s="53">
        <f>'Baseline Consumption'!N17</f>
        <v>49.25714285714286</v>
      </c>
      <c r="V17" s="61">
        <f>(T17*'Energy Prices'!$D$39)+(U17*'Energy Prices'!$I$39)</f>
        <v>7172.1625788541733</v>
      </c>
      <c r="W17" s="62">
        <f t="shared" si="5"/>
        <v>1.1022930243243962</v>
      </c>
      <c r="X17" s="62">
        <f t="shared" si="6"/>
        <v>0.80776269437691595</v>
      </c>
      <c r="Y17" s="62">
        <f t="shared" si="7"/>
        <v>0.63744007472246822</v>
      </c>
      <c r="Z17" s="1" t="s">
        <v>34</v>
      </c>
    </row>
    <row r="18" spans="2:28" ht="27" customHeight="1" x14ac:dyDescent="0.2">
      <c r="B18" s="1" t="s">
        <v>35</v>
      </c>
      <c r="C18" s="7" t="s">
        <v>147</v>
      </c>
      <c r="D18" s="2">
        <v>18</v>
      </c>
      <c r="E18" s="49">
        <v>3</v>
      </c>
      <c r="F18" s="1">
        <v>17.600000000000001</v>
      </c>
      <c r="G18" s="1">
        <v>10.6</v>
      </c>
      <c r="H18" s="7" t="s">
        <v>32</v>
      </c>
      <c r="I18" s="2" t="s">
        <v>121</v>
      </c>
      <c r="J18" s="2" t="s">
        <v>49</v>
      </c>
      <c r="K18" s="7" t="s">
        <v>51</v>
      </c>
      <c r="L18" s="50">
        <f>'Cost Data'!T17</f>
        <v>15099</v>
      </c>
      <c r="M18" s="50">
        <f t="shared" si="0"/>
        <v>12079.2</v>
      </c>
      <c r="N18" s="50">
        <f t="shared" si="1"/>
        <v>18118.8</v>
      </c>
      <c r="O18" s="48">
        <f>'Cost Data'!Q17</f>
        <v>1803.35</v>
      </c>
      <c r="P18" s="51">
        <f t="shared" si="2"/>
        <v>13295.65</v>
      </c>
      <c r="Q18" s="51">
        <f t="shared" si="3"/>
        <v>10275.85</v>
      </c>
      <c r="R18" s="51">
        <f t="shared" si="4"/>
        <v>16315.449999999999</v>
      </c>
      <c r="S18" s="51">
        <f>1000*E18</f>
        <v>3000</v>
      </c>
      <c r="T18" s="52">
        <f>'Baseline Consumption'!O18-'HP Consumption'!L18</f>
        <v>6470.6740362979272</v>
      </c>
      <c r="U18" s="53">
        <f>'Baseline Consumption'!N18</f>
        <v>0</v>
      </c>
      <c r="V18" s="61">
        <f>(T18*'Energy Prices'!$D$39)+(U18*'Energy Prices'!$I$39)</f>
        <v>18551.567303755226</v>
      </c>
      <c r="W18" s="62">
        <f t="shared" si="5"/>
        <v>2.0973026371302836</v>
      </c>
      <c r="X18" s="62">
        <f t="shared" si="6"/>
        <v>1.6209487541981946</v>
      </c>
      <c r="Y18" s="62">
        <f t="shared" si="7"/>
        <v>1.3209299960316894</v>
      </c>
      <c r="Z18" s="1" t="s">
        <v>46</v>
      </c>
    </row>
    <row r="19" spans="2:28" ht="27" customHeight="1" x14ac:dyDescent="0.2">
      <c r="B19" s="1" t="s">
        <v>36</v>
      </c>
      <c r="C19" s="7" t="s">
        <v>147</v>
      </c>
      <c r="D19" s="2">
        <v>18</v>
      </c>
      <c r="E19" s="49">
        <v>4</v>
      </c>
      <c r="F19" s="1">
        <v>17.600000000000001</v>
      </c>
      <c r="G19" s="1">
        <v>10.6</v>
      </c>
      <c r="H19" s="7" t="s">
        <v>32</v>
      </c>
      <c r="I19" s="2" t="s">
        <v>121</v>
      </c>
      <c r="J19" s="2" t="s">
        <v>49</v>
      </c>
      <c r="K19" s="7" t="s">
        <v>51</v>
      </c>
      <c r="L19" s="50">
        <f>'Cost Data'!T18</f>
        <v>20132</v>
      </c>
      <c r="M19" s="50">
        <f t="shared" si="0"/>
        <v>16105.6</v>
      </c>
      <c r="N19" s="50">
        <f t="shared" si="1"/>
        <v>24158.399999999998</v>
      </c>
      <c r="O19" s="48">
        <f>'Cost Data'!Q18</f>
        <v>2404.4666666666667</v>
      </c>
      <c r="P19" s="51">
        <f t="shared" si="2"/>
        <v>17727.533333333333</v>
      </c>
      <c r="Q19" s="51">
        <f t="shared" si="3"/>
        <v>13701.133333333333</v>
      </c>
      <c r="R19" s="51">
        <f t="shared" si="4"/>
        <v>21753.933333333331</v>
      </c>
      <c r="S19" s="51">
        <f>1000*E19</f>
        <v>4000</v>
      </c>
      <c r="T19" s="52">
        <f>'Baseline Consumption'!O19-'HP Consumption'!L19</f>
        <v>8627.565381730572</v>
      </c>
      <c r="U19" s="53">
        <f>'Baseline Consumption'!N19</f>
        <v>0</v>
      </c>
      <c r="V19" s="61">
        <f>(T19*'Energy Prices'!$D$39)+(U19*'Energy Prices'!$I$39)</f>
        <v>24735.423071673638</v>
      </c>
      <c r="W19" s="62">
        <f t="shared" si="5"/>
        <v>2.0973026371302841</v>
      </c>
      <c r="X19" s="62">
        <f t="shared" si="6"/>
        <v>1.6209487541981948</v>
      </c>
      <c r="Y19" s="62">
        <f t="shared" si="7"/>
        <v>1.3209299960316896</v>
      </c>
      <c r="Z19" s="1" t="s">
        <v>46</v>
      </c>
    </row>
    <row r="20" spans="2:28" ht="27" customHeight="1" x14ac:dyDescent="0.2">
      <c r="B20" s="1" t="s">
        <v>116</v>
      </c>
      <c r="C20" s="7" t="s">
        <v>8</v>
      </c>
      <c r="D20" s="7">
        <v>13</v>
      </c>
      <c r="E20" s="49">
        <v>50</v>
      </c>
      <c r="F20" s="49" t="s">
        <v>7</v>
      </c>
      <c r="G20" s="49">
        <v>3.3</v>
      </c>
      <c r="H20" s="7" t="s">
        <v>32</v>
      </c>
      <c r="I20" s="7" t="s">
        <v>123</v>
      </c>
      <c r="J20" s="2" t="s">
        <v>7</v>
      </c>
      <c r="K20" s="7" t="s">
        <v>52</v>
      </c>
      <c r="L20" s="50">
        <f>'Cost Data'!T19</f>
        <v>2370</v>
      </c>
      <c r="M20" s="50">
        <f t="shared" si="0"/>
        <v>1896</v>
      </c>
      <c r="N20" s="50">
        <f t="shared" si="1"/>
        <v>2844</v>
      </c>
      <c r="O20" s="48">
        <f>'Cost Data'!Q19</f>
        <v>1469</v>
      </c>
      <c r="P20" s="51">
        <f t="shared" si="2"/>
        <v>901</v>
      </c>
      <c r="Q20" s="51">
        <f t="shared" si="3"/>
        <v>427</v>
      </c>
      <c r="R20" s="51">
        <f t="shared" si="4"/>
        <v>1375</v>
      </c>
      <c r="S20" s="51">
        <v>750</v>
      </c>
      <c r="T20" s="52">
        <f>'Baseline Consumption'!H26-'HP Consumption'!G26</f>
        <v>2534.2487041881964</v>
      </c>
      <c r="U20" s="53">
        <f>'Baseline Consumption'!I26</f>
        <v>0</v>
      </c>
      <c r="V20" s="61">
        <f>(T20*'Energy Prices'!$D$40)+(U20*'Energy Prices'!$I$40)</f>
        <v>5607.6574775954132</v>
      </c>
      <c r="W20" s="62">
        <f t="shared" si="5"/>
        <v>14.889127582190664</v>
      </c>
      <c r="X20" s="62">
        <f t="shared" si="6"/>
        <v>7.0562236155331997</v>
      </c>
      <c r="Y20" s="62">
        <f t="shared" si="7"/>
        <v>4.6237508927966644</v>
      </c>
      <c r="Z20" s="1" t="s">
        <v>35</v>
      </c>
    </row>
    <row r="21" spans="2:28" ht="27" customHeight="1" x14ac:dyDescent="0.2">
      <c r="B21" s="85" t="s">
        <v>117</v>
      </c>
      <c r="C21" s="7" t="s">
        <v>8</v>
      </c>
      <c r="D21" s="7">
        <v>13</v>
      </c>
      <c r="E21" s="49">
        <v>50</v>
      </c>
      <c r="F21" s="49" t="s">
        <v>7</v>
      </c>
      <c r="G21" s="49">
        <v>3.3</v>
      </c>
      <c r="H21" s="7" t="s">
        <v>32</v>
      </c>
      <c r="I21" s="7" t="s">
        <v>123</v>
      </c>
      <c r="J21" s="2" t="s">
        <v>7</v>
      </c>
      <c r="K21" s="7" t="s">
        <v>53</v>
      </c>
      <c r="L21" s="50">
        <f>'Cost Data'!T20</f>
        <v>2370</v>
      </c>
      <c r="M21" s="50">
        <f t="shared" si="0"/>
        <v>1896</v>
      </c>
      <c r="N21" s="50">
        <f t="shared" si="1"/>
        <v>2844</v>
      </c>
      <c r="O21" s="48">
        <f>'Cost Data'!Q20</f>
        <v>2243</v>
      </c>
      <c r="P21" s="51">
        <f t="shared" si="2"/>
        <v>127</v>
      </c>
      <c r="Q21" s="51">
        <f t="shared" si="3"/>
        <v>0</v>
      </c>
      <c r="R21" s="51">
        <f t="shared" si="4"/>
        <v>601</v>
      </c>
      <c r="S21" s="51">
        <v>750</v>
      </c>
      <c r="T21" s="52">
        <f>'Baseline Consumption'!H27-'HP Consumption'!G27</f>
        <v>-994.45202316245695</v>
      </c>
      <c r="U21" s="53">
        <f>'Baseline Consumption'!I27</f>
        <v>13.996415000000001</v>
      </c>
      <c r="V21" s="61">
        <f>(T21*'Energy Prices'!$D$40)+(U21*'Energy Prices'!$I$40)</f>
        <v>1495.6939143762579</v>
      </c>
      <c r="W21" s="86" t="e">
        <f t="shared" si="5"/>
        <v>#DIV/0!</v>
      </c>
      <c r="X21" s="62">
        <f t="shared" si="6"/>
        <v>17.68262924705715</v>
      </c>
      <c r="Y21" s="62">
        <f t="shared" si="7"/>
        <v>3.7365955314080832</v>
      </c>
      <c r="Z21" s="1" t="s">
        <v>36</v>
      </c>
    </row>
    <row r="22" spans="2:28" ht="16" thickBot="1" x14ac:dyDescent="0.25">
      <c r="B22" s="63" t="s">
        <v>57</v>
      </c>
      <c r="C22" s="64" t="s">
        <v>59</v>
      </c>
      <c r="D22" s="65" t="s">
        <v>95</v>
      </c>
      <c r="E22" s="66" t="s">
        <v>58</v>
      </c>
      <c r="F22" s="66" t="s">
        <v>58</v>
      </c>
      <c r="G22" s="66" t="s">
        <v>58</v>
      </c>
      <c r="H22" s="66"/>
      <c r="I22" s="66"/>
      <c r="J22" s="64" t="s">
        <v>59</v>
      </c>
      <c r="K22" s="64" t="s">
        <v>59</v>
      </c>
      <c r="L22" s="65" t="s">
        <v>61</v>
      </c>
      <c r="M22" s="65"/>
      <c r="N22" s="65"/>
      <c r="O22" s="65" t="s">
        <v>60</v>
      </c>
      <c r="P22" s="65" t="s">
        <v>62</v>
      </c>
      <c r="Q22" s="65"/>
      <c r="R22" s="65"/>
      <c r="S22" s="65" t="s">
        <v>69</v>
      </c>
      <c r="T22" s="65" t="s">
        <v>63</v>
      </c>
      <c r="U22" s="65" t="s">
        <v>63</v>
      </c>
      <c r="V22" s="65"/>
      <c r="W22" s="65"/>
      <c r="X22" s="67"/>
      <c r="Y22" s="67"/>
      <c r="Z22" s="68"/>
      <c r="AB22" s="60"/>
    </row>
    <row r="23" spans="2:28" x14ac:dyDescent="0.2">
      <c r="X23" s="58"/>
      <c r="Y23" s="58"/>
      <c r="Z23" s="58"/>
      <c r="AA23" s="59"/>
      <c r="AB23" s="60"/>
    </row>
    <row r="24" spans="2:28" x14ac:dyDescent="0.2">
      <c r="X24" s="58"/>
      <c r="Y24" s="58"/>
      <c r="Z24" s="58"/>
      <c r="AA24" s="59"/>
      <c r="AB24" s="60"/>
    </row>
    <row r="26" spans="2:28" ht="30" customHeight="1" x14ac:dyDescent="0.2">
      <c r="B26" s="94" t="s">
        <v>132</v>
      </c>
      <c r="C26" s="95"/>
      <c r="D26" s="95"/>
      <c r="E26" s="95"/>
      <c r="F26" s="95"/>
      <c r="G26" s="96"/>
    </row>
    <row r="27" spans="2:28" x14ac:dyDescent="0.2">
      <c r="B27" s="97" t="s">
        <v>133</v>
      </c>
      <c r="C27" s="98"/>
      <c r="D27" s="98"/>
      <c r="E27" s="98"/>
      <c r="F27" s="98"/>
      <c r="G27" s="99"/>
    </row>
    <row r="28" spans="2:28" x14ac:dyDescent="0.2">
      <c r="B28" s="91" t="s">
        <v>134</v>
      </c>
      <c r="C28" s="92"/>
      <c r="D28" s="92"/>
      <c r="E28" s="92"/>
      <c r="F28" s="92"/>
      <c r="G28" s="93"/>
    </row>
    <row r="29" spans="2:28" x14ac:dyDescent="0.2">
      <c r="B29" s="91" t="s">
        <v>135</v>
      </c>
      <c r="C29" s="92"/>
      <c r="D29" s="92"/>
      <c r="E29" s="92"/>
      <c r="F29" s="92"/>
      <c r="G29" s="93"/>
    </row>
    <row r="30" spans="2:28" x14ac:dyDescent="0.2">
      <c r="B30" s="91" t="s">
        <v>136</v>
      </c>
      <c r="C30" s="92"/>
      <c r="D30" s="92"/>
      <c r="E30" s="92"/>
      <c r="F30" s="92"/>
      <c r="G30" s="93"/>
    </row>
    <row r="31" spans="2:28" x14ac:dyDescent="0.2">
      <c r="B31" s="91" t="s">
        <v>137</v>
      </c>
      <c r="C31" s="92"/>
      <c r="D31" s="92"/>
      <c r="E31" s="92"/>
      <c r="F31" s="92"/>
      <c r="G31" s="93"/>
    </row>
    <row r="32" spans="2:28" x14ac:dyDescent="0.2">
      <c r="B32" s="91" t="s">
        <v>138</v>
      </c>
      <c r="C32" s="92"/>
      <c r="D32" s="92"/>
      <c r="E32" s="92"/>
      <c r="F32" s="92"/>
      <c r="G32" s="93"/>
    </row>
    <row r="33" spans="1:28" x14ac:dyDescent="0.2">
      <c r="B33" s="91" t="s">
        <v>139</v>
      </c>
      <c r="C33" s="92"/>
      <c r="D33" s="92"/>
      <c r="E33" s="92"/>
      <c r="F33" s="92"/>
      <c r="G33" s="93"/>
    </row>
    <row r="34" spans="1:28" x14ac:dyDescent="0.2">
      <c r="B34" s="91" t="s">
        <v>140</v>
      </c>
      <c r="C34" s="92"/>
      <c r="D34" s="92"/>
      <c r="E34" s="92"/>
      <c r="F34" s="92"/>
      <c r="G34" s="93"/>
    </row>
    <row r="35" spans="1:28" x14ac:dyDescent="0.2">
      <c r="B35" s="91" t="s">
        <v>141</v>
      </c>
      <c r="C35" s="92"/>
      <c r="D35" s="92"/>
      <c r="E35" s="92"/>
      <c r="F35" s="92"/>
      <c r="G35" s="93"/>
      <c r="O35" t="s">
        <v>114</v>
      </c>
    </row>
    <row r="36" spans="1:28" x14ac:dyDescent="0.2">
      <c r="A36" s="70"/>
      <c r="B36" s="112" t="s">
        <v>142</v>
      </c>
      <c r="C36" s="113"/>
      <c r="D36" s="113"/>
      <c r="E36" s="113"/>
      <c r="F36" s="113"/>
      <c r="G36" s="114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</row>
    <row r="37" spans="1:28" x14ac:dyDescent="0.2">
      <c r="A37" s="70"/>
      <c r="B37" s="112" t="s">
        <v>143</v>
      </c>
      <c r="C37" s="113"/>
      <c r="D37" s="113"/>
      <c r="E37" s="113"/>
      <c r="F37" s="113"/>
      <c r="G37" s="114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</row>
    <row r="38" spans="1:28" x14ac:dyDescent="0.2">
      <c r="A38" s="70"/>
      <c r="B38" s="100" t="s">
        <v>144</v>
      </c>
      <c r="C38" s="101"/>
      <c r="D38" s="101"/>
      <c r="E38" s="101"/>
      <c r="F38" s="101"/>
      <c r="G38" s="102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1:28" x14ac:dyDescent="0.2">
      <c r="A39" s="70"/>
      <c r="B39" s="103" t="s">
        <v>145</v>
      </c>
      <c r="C39" s="104"/>
      <c r="D39" s="104"/>
      <c r="E39" s="104"/>
      <c r="F39" s="104"/>
      <c r="G39" s="105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</row>
    <row r="40" spans="1:28" x14ac:dyDescent="0.2">
      <c r="A40" s="70"/>
      <c r="B40" s="106"/>
      <c r="C40" s="107"/>
      <c r="D40" s="107"/>
      <c r="E40" s="107"/>
      <c r="F40" s="107"/>
      <c r="G40" s="108"/>
      <c r="H40" s="72"/>
      <c r="I40" s="72"/>
      <c r="J40" s="72"/>
      <c r="K40" s="72"/>
      <c r="L40" s="72"/>
      <c r="M40" s="72"/>
      <c r="N40" s="72"/>
      <c r="O40" s="72"/>
      <c r="P40" s="73"/>
      <c r="Q40" s="73"/>
      <c r="R40" s="73"/>
      <c r="S40" s="73"/>
      <c r="T40" s="72"/>
      <c r="U40" s="72"/>
      <c r="V40" s="72"/>
      <c r="W40" s="72"/>
      <c r="X40" s="73"/>
      <c r="Y40" s="73"/>
      <c r="Z40" s="73"/>
      <c r="AA40" s="71"/>
      <c r="AB40" s="70"/>
    </row>
    <row r="41" spans="1:28" ht="58.5" customHeight="1" x14ac:dyDescent="0.2">
      <c r="A41" s="70"/>
      <c r="B41" s="109"/>
      <c r="C41" s="110"/>
      <c r="D41" s="110"/>
      <c r="E41" s="110"/>
      <c r="F41" s="110"/>
      <c r="G41" s="111"/>
      <c r="H41" s="70"/>
      <c r="I41" s="70"/>
      <c r="J41" s="70"/>
      <c r="K41" s="70"/>
      <c r="L41" s="74"/>
      <c r="M41" s="74"/>
      <c r="N41" s="74"/>
      <c r="O41" s="75"/>
      <c r="P41" s="76"/>
      <c r="Q41" s="76"/>
      <c r="R41" s="76"/>
      <c r="S41" s="76"/>
      <c r="T41" s="77"/>
      <c r="U41" s="78"/>
      <c r="V41" s="79"/>
      <c r="W41" s="79"/>
      <c r="X41" s="80"/>
      <c r="Y41" s="80"/>
      <c r="Z41" s="80"/>
      <c r="AA41" s="69"/>
      <c r="AB41" s="70"/>
    </row>
    <row r="42" spans="1:28" x14ac:dyDescent="0.2">
      <c r="A42" s="70"/>
      <c r="B42" s="69"/>
      <c r="C42" s="70"/>
      <c r="D42" s="70"/>
      <c r="E42" s="69"/>
      <c r="F42" s="69"/>
      <c r="G42" s="69"/>
      <c r="H42" s="70"/>
      <c r="I42" s="70"/>
      <c r="J42" s="70"/>
      <c r="K42" s="70"/>
      <c r="L42" s="74"/>
      <c r="M42" s="74"/>
      <c r="N42" s="74"/>
      <c r="O42" s="75"/>
      <c r="P42" s="76"/>
      <c r="Q42" s="76"/>
      <c r="R42" s="76"/>
      <c r="S42" s="76"/>
      <c r="T42" s="77"/>
      <c r="U42" s="78"/>
      <c r="V42" s="79"/>
      <c r="W42" s="79"/>
      <c r="X42" s="80"/>
      <c r="Y42" s="80"/>
      <c r="Z42" s="80"/>
      <c r="AA42" s="69"/>
      <c r="AB42" s="70"/>
    </row>
    <row r="43" spans="1:28" x14ac:dyDescent="0.2">
      <c r="A43" s="70"/>
      <c r="B43" s="69"/>
      <c r="C43" s="70"/>
      <c r="D43" s="70"/>
      <c r="E43" s="69"/>
      <c r="F43" s="69"/>
      <c r="G43" s="69"/>
      <c r="H43" s="70"/>
      <c r="I43" s="70"/>
      <c r="J43" s="70"/>
      <c r="K43" s="70"/>
      <c r="L43" s="74"/>
      <c r="M43" s="74"/>
      <c r="N43" s="74"/>
      <c r="O43" s="75"/>
      <c r="P43" s="76"/>
      <c r="Q43" s="76"/>
      <c r="R43" s="76"/>
      <c r="S43" s="76"/>
      <c r="T43" s="77"/>
      <c r="U43" s="78"/>
      <c r="V43" s="79"/>
      <c r="W43" s="79"/>
      <c r="X43" s="80"/>
      <c r="Y43" s="80"/>
      <c r="Z43" s="80"/>
      <c r="AA43" s="69"/>
      <c r="AB43" s="70"/>
    </row>
    <row r="44" spans="1:28" x14ac:dyDescent="0.2">
      <c r="A44" s="70"/>
      <c r="B44" s="69"/>
      <c r="C44" s="70"/>
      <c r="D44" s="70"/>
      <c r="E44" s="69"/>
      <c r="F44" s="69"/>
      <c r="G44" s="69"/>
      <c r="H44" s="70"/>
      <c r="I44" s="70"/>
      <c r="J44" s="70"/>
      <c r="K44" s="70"/>
      <c r="L44" s="74"/>
      <c r="M44" s="74"/>
      <c r="N44" s="74"/>
      <c r="O44" s="75"/>
      <c r="P44" s="76"/>
      <c r="Q44" s="76"/>
      <c r="R44" s="76"/>
      <c r="S44" s="76"/>
      <c r="T44" s="77"/>
      <c r="U44" s="78"/>
      <c r="V44" s="79"/>
      <c r="W44" s="79"/>
      <c r="X44" s="80"/>
      <c r="Y44" s="80"/>
      <c r="Z44" s="80"/>
      <c r="AA44" s="69"/>
      <c r="AB44" s="70"/>
    </row>
    <row r="45" spans="1:28" x14ac:dyDescent="0.2">
      <c r="A45" s="70"/>
      <c r="B45" s="69"/>
      <c r="C45" s="70"/>
      <c r="D45" s="70"/>
      <c r="E45" s="69"/>
      <c r="F45" s="69"/>
      <c r="G45" s="69"/>
      <c r="H45" s="70"/>
      <c r="I45" s="70"/>
      <c r="J45" s="70"/>
      <c r="K45" s="70"/>
      <c r="L45" s="74"/>
      <c r="M45" s="74"/>
      <c r="N45" s="74"/>
      <c r="O45" s="75"/>
      <c r="P45" s="76"/>
      <c r="Q45" s="76"/>
      <c r="R45" s="76"/>
      <c r="S45" s="76"/>
      <c r="T45" s="77"/>
      <c r="U45" s="78"/>
      <c r="V45" s="79"/>
      <c r="W45" s="79"/>
      <c r="X45" s="80"/>
      <c r="Y45" s="80"/>
      <c r="Z45" s="80"/>
      <c r="AA45" s="69"/>
      <c r="AB45" s="70"/>
    </row>
    <row r="46" spans="1:28" x14ac:dyDescent="0.2">
      <c r="A46" s="70"/>
      <c r="B46" s="69"/>
      <c r="C46" s="81"/>
      <c r="D46" s="70"/>
      <c r="E46" s="82"/>
      <c r="F46" s="69"/>
      <c r="G46" s="69"/>
      <c r="H46" s="81"/>
      <c r="I46" s="70"/>
      <c r="J46" s="70"/>
      <c r="K46" s="70"/>
      <c r="L46" s="74"/>
      <c r="M46" s="74"/>
      <c r="N46" s="74"/>
      <c r="O46" s="75"/>
      <c r="P46" s="76"/>
      <c r="Q46" s="76"/>
      <c r="R46" s="76"/>
      <c r="S46" s="76"/>
      <c r="T46" s="77"/>
      <c r="U46" s="78"/>
      <c r="V46" s="79"/>
      <c r="W46" s="79"/>
      <c r="X46" s="80"/>
      <c r="Y46" s="80"/>
      <c r="Z46" s="80"/>
      <c r="AA46" s="69"/>
      <c r="AB46" s="70"/>
    </row>
    <row r="47" spans="1:28" x14ac:dyDescent="0.2">
      <c r="A47" s="70"/>
      <c r="B47" s="69"/>
      <c r="C47" s="81"/>
      <c r="D47" s="70"/>
      <c r="E47" s="82"/>
      <c r="F47" s="69"/>
      <c r="G47" s="69"/>
      <c r="H47" s="81"/>
      <c r="I47" s="81"/>
      <c r="J47" s="70"/>
      <c r="K47" s="70"/>
      <c r="L47" s="74"/>
      <c r="M47" s="74"/>
      <c r="N47" s="74"/>
      <c r="O47" s="75"/>
      <c r="P47" s="76"/>
      <c r="Q47" s="76"/>
      <c r="R47" s="76"/>
      <c r="S47" s="76"/>
      <c r="T47" s="77"/>
      <c r="U47" s="78"/>
      <c r="V47" s="79"/>
      <c r="W47" s="79"/>
      <c r="X47" s="80"/>
      <c r="Y47" s="80"/>
      <c r="Z47" s="80"/>
      <c r="AA47" s="69"/>
      <c r="AB47" s="70"/>
    </row>
    <row r="48" spans="1:28" x14ac:dyDescent="0.2">
      <c r="A48" s="70"/>
      <c r="B48" s="69"/>
      <c r="C48" s="81"/>
      <c r="D48" s="70"/>
      <c r="E48" s="82"/>
      <c r="F48" s="69"/>
      <c r="G48" s="69"/>
      <c r="H48" s="81"/>
      <c r="I48" s="81"/>
      <c r="J48" s="70"/>
      <c r="K48" s="70"/>
      <c r="L48" s="74"/>
      <c r="M48" s="74"/>
      <c r="N48" s="74"/>
      <c r="O48" s="75"/>
      <c r="P48" s="76"/>
      <c r="Q48" s="76"/>
      <c r="R48" s="76"/>
      <c r="S48" s="76"/>
      <c r="T48" s="77"/>
      <c r="U48" s="78"/>
      <c r="V48" s="79"/>
      <c r="W48" s="79"/>
      <c r="X48" s="80"/>
      <c r="Y48" s="80"/>
      <c r="Z48" s="80"/>
      <c r="AA48" s="69"/>
      <c r="AB48" s="70"/>
    </row>
    <row r="49" spans="1:28" x14ac:dyDescent="0.2">
      <c r="A49" s="70"/>
      <c r="B49" s="69"/>
      <c r="C49" s="81"/>
      <c r="D49" s="70"/>
      <c r="E49" s="82"/>
      <c r="F49" s="69"/>
      <c r="G49" s="69"/>
      <c r="H49" s="81"/>
      <c r="I49" s="70"/>
      <c r="J49" s="70"/>
      <c r="K49" s="70"/>
      <c r="L49" s="74"/>
      <c r="M49" s="74"/>
      <c r="N49" s="74"/>
      <c r="O49" s="75"/>
      <c r="P49" s="76"/>
      <c r="Q49" s="76"/>
      <c r="R49" s="76"/>
      <c r="S49" s="76"/>
      <c r="T49" s="77"/>
      <c r="U49" s="78"/>
      <c r="V49" s="79"/>
      <c r="W49" s="79"/>
      <c r="X49" s="80"/>
      <c r="Y49" s="80"/>
      <c r="Z49" s="80"/>
      <c r="AA49" s="69"/>
      <c r="AB49" s="70"/>
    </row>
    <row r="50" spans="1:28" x14ac:dyDescent="0.2">
      <c r="A50" s="70"/>
      <c r="B50" s="69"/>
      <c r="C50" s="81"/>
      <c r="D50" s="70"/>
      <c r="E50" s="82"/>
      <c r="F50" s="69"/>
      <c r="G50" s="69"/>
      <c r="H50" s="81"/>
      <c r="I50" s="70"/>
      <c r="J50" s="70"/>
      <c r="K50" s="70"/>
      <c r="L50" s="74"/>
      <c r="M50" s="74"/>
      <c r="N50" s="74"/>
      <c r="O50" s="75"/>
      <c r="P50" s="76"/>
      <c r="Q50" s="76"/>
      <c r="R50" s="76"/>
      <c r="S50" s="76"/>
      <c r="T50" s="77"/>
      <c r="U50" s="78"/>
      <c r="V50" s="79"/>
      <c r="W50" s="79"/>
      <c r="X50" s="80"/>
      <c r="Y50" s="80"/>
      <c r="Z50" s="80"/>
      <c r="AA50" s="69"/>
      <c r="AB50" s="70"/>
    </row>
    <row r="51" spans="1:28" x14ac:dyDescent="0.2">
      <c r="A51" s="70"/>
      <c r="B51" s="69"/>
      <c r="C51" s="81"/>
      <c r="D51" s="70"/>
      <c r="E51" s="82"/>
      <c r="F51" s="69"/>
      <c r="G51" s="69"/>
      <c r="H51" s="81"/>
      <c r="I51" s="70"/>
      <c r="J51" s="70"/>
      <c r="K51" s="70"/>
      <c r="L51" s="74"/>
      <c r="M51" s="74"/>
      <c r="N51" s="74"/>
      <c r="O51" s="75"/>
      <c r="P51" s="76"/>
      <c r="Q51" s="76"/>
      <c r="R51" s="76"/>
      <c r="S51" s="76"/>
      <c r="T51" s="77"/>
      <c r="U51" s="78"/>
      <c r="V51" s="79"/>
      <c r="W51" s="79"/>
      <c r="X51" s="80"/>
      <c r="Y51" s="80"/>
      <c r="Z51" s="80"/>
      <c r="AA51" s="69"/>
      <c r="AB51" s="70"/>
    </row>
    <row r="52" spans="1:28" x14ac:dyDescent="0.2">
      <c r="A52" s="70"/>
      <c r="B52" s="69"/>
      <c r="C52" s="81"/>
      <c r="D52" s="70"/>
      <c r="E52" s="82"/>
      <c r="F52" s="69"/>
      <c r="G52" s="69"/>
      <c r="H52" s="81"/>
      <c r="I52" s="70"/>
      <c r="J52" s="70"/>
      <c r="K52" s="70"/>
      <c r="L52" s="74"/>
      <c r="M52" s="74"/>
      <c r="N52" s="74"/>
      <c r="O52" s="75"/>
      <c r="P52" s="76"/>
      <c r="Q52" s="76"/>
      <c r="R52" s="76"/>
      <c r="S52" s="76"/>
      <c r="T52" s="77"/>
      <c r="U52" s="78"/>
      <c r="V52" s="79"/>
      <c r="W52" s="79"/>
      <c r="X52" s="80"/>
      <c r="Y52" s="80"/>
      <c r="Z52" s="80"/>
      <c r="AA52" s="69"/>
      <c r="AB52" s="70"/>
    </row>
    <row r="53" spans="1:28" x14ac:dyDescent="0.2">
      <c r="A53" s="70"/>
      <c r="B53" s="69"/>
      <c r="C53" s="81"/>
      <c r="D53" s="70"/>
      <c r="E53" s="82"/>
      <c r="F53" s="69"/>
      <c r="G53" s="69"/>
      <c r="H53" s="81"/>
      <c r="I53" s="81"/>
      <c r="J53" s="70"/>
      <c r="K53" s="70"/>
      <c r="L53" s="74"/>
      <c r="M53" s="74"/>
      <c r="N53" s="74"/>
      <c r="O53" s="75"/>
      <c r="P53" s="76"/>
      <c r="Q53" s="76"/>
      <c r="R53" s="76"/>
      <c r="S53" s="76"/>
      <c r="T53" s="77"/>
      <c r="U53" s="78"/>
      <c r="V53" s="79"/>
      <c r="W53" s="79"/>
      <c r="X53" s="80"/>
      <c r="Y53" s="80"/>
      <c r="Z53" s="80"/>
      <c r="AA53" s="69"/>
      <c r="AB53" s="70"/>
    </row>
    <row r="54" spans="1:28" x14ac:dyDescent="0.2">
      <c r="A54" s="70"/>
      <c r="B54" s="69"/>
      <c r="C54" s="81"/>
      <c r="D54" s="70"/>
      <c r="E54" s="82"/>
      <c r="F54" s="69"/>
      <c r="G54" s="69"/>
      <c r="H54" s="81"/>
      <c r="I54" s="81"/>
      <c r="J54" s="70"/>
      <c r="K54" s="70"/>
      <c r="L54" s="74"/>
      <c r="M54" s="74"/>
      <c r="N54" s="74"/>
      <c r="O54" s="75"/>
      <c r="P54" s="76"/>
      <c r="Q54" s="76"/>
      <c r="R54" s="76"/>
      <c r="S54" s="76"/>
      <c r="T54" s="77"/>
      <c r="U54" s="78"/>
      <c r="V54" s="79"/>
      <c r="W54" s="79"/>
      <c r="X54" s="80"/>
      <c r="Y54" s="80"/>
      <c r="Z54" s="80"/>
      <c r="AA54" s="69"/>
      <c r="AB54" s="70"/>
    </row>
    <row r="55" spans="1:28" x14ac:dyDescent="0.2">
      <c r="A55" s="70"/>
      <c r="B55" s="69"/>
      <c r="C55" s="81"/>
      <c r="D55" s="70"/>
      <c r="E55" s="82"/>
      <c r="F55" s="69"/>
      <c r="G55" s="69"/>
      <c r="H55" s="81"/>
      <c r="I55" s="70"/>
      <c r="J55" s="70"/>
      <c r="K55" s="70"/>
      <c r="L55" s="74"/>
      <c r="M55" s="74"/>
      <c r="N55" s="74"/>
      <c r="O55" s="75"/>
      <c r="P55" s="76"/>
      <c r="Q55" s="76"/>
      <c r="R55" s="76"/>
      <c r="S55" s="76"/>
      <c r="T55" s="77"/>
      <c r="U55" s="78"/>
      <c r="V55" s="79"/>
      <c r="W55" s="79"/>
      <c r="X55" s="80"/>
      <c r="Y55" s="80"/>
      <c r="Z55" s="80"/>
      <c r="AA55" s="69"/>
      <c r="AB55" s="70"/>
    </row>
    <row r="56" spans="1:28" x14ac:dyDescent="0.2">
      <c r="A56" s="70"/>
      <c r="B56" s="69"/>
      <c r="C56" s="81"/>
      <c r="D56" s="70"/>
      <c r="E56" s="82"/>
      <c r="F56" s="69"/>
      <c r="G56" s="69"/>
      <c r="H56" s="81"/>
      <c r="I56" s="70"/>
      <c r="J56" s="70"/>
      <c r="K56" s="70"/>
      <c r="L56" s="74"/>
      <c r="M56" s="74"/>
      <c r="N56" s="74"/>
      <c r="O56" s="75"/>
      <c r="P56" s="76"/>
      <c r="Q56" s="76"/>
      <c r="R56" s="76"/>
      <c r="S56" s="76"/>
      <c r="T56" s="77"/>
      <c r="U56" s="78"/>
      <c r="V56" s="79"/>
      <c r="W56" s="79"/>
      <c r="X56" s="80"/>
      <c r="Y56" s="80"/>
      <c r="Z56" s="80"/>
      <c r="AA56" s="69"/>
      <c r="AB56" s="70"/>
    </row>
    <row r="57" spans="1:28" x14ac:dyDescent="0.2">
      <c r="A57" s="70"/>
      <c r="B57" s="69"/>
      <c r="C57" s="81"/>
      <c r="D57" s="81"/>
      <c r="E57" s="82"/>
      <c r="F57" s="82"/>
      <c r="G57" s="82"/>
      <c r="H57" s="81"/>
      <c r="I57" s="81"/>
      <c r="J57" s="70"/>
      <c r="K57" s="70"/>
      <c r="L57" s="74"/>
      <c r="M57" s="74"/>
      <c r="N57" s="74"/>
      <c r="O57" s="75"/>
      <c r="P57" s="76"/>
      <c r="Q57" s="76"/>
      <c r="R57" s="76"/>
      <c r="S57" s="76"/>
      <c r="T57" s="77"/>
      <c r="U57" s="78"/>
      <c r="V57" s="79"/>
      <c r="W57" s="79"/>
      <c r="X57" s="80"/>
      <c r="Y57" s="80"/>
      <c r="Z57" s="80"/>
      <c r="AA57" s="69"/>
      <c r="AB57" s="70"/>
    </row>
    <row r="58" spans="1:28" x14ac:dyDescent="0.2">
      <c r="A58" s="70"/>
      <c r="B58" s="69"/>
      <c r="C58" s="81"/>
      <c r="D58" s="81"/>
      <c r="E58" s="82"/>
      <c r="F58" s="82"/>
      <c r="G58" s="82"/>
      <c r="H58" s="81"/>
      <c r="I58" s="81"/>
      <c r="J58" s="70"/>
      <c r="K58" s="70"/>
      <c r="L58" s="74"/>
      <c r="M58" s="74"/>
      <c r="N58" s="74"/>
      <c r="O58" s="75"/>
      <c r="P58" s="76"/>
      <c r="Q58" s="76"/>
      <c r="R58" s="76"/>
      <c r="S58" s="76"/>
      <c r="T58" s="77"/>
      <c r="U58" s="78"/>
      <c r="V58" s="79"/>
      <c r="W58" s="79"/>
      <c r="X58" s="80"/>
      <c r="Y58" s="80"/>
      <c r="Z58" s="80"/>
      <c r="AA58" s="69"/>
      <c r="AB58" s="70"/>
    </row>
    <row r="59" spans="1:28" x14ac:dyDescent="0.2">
      <c r="A59" s="70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58"/>
      <c r="Y59" s="58"/>
      <c r="Z59" s="58"/>
      <c r="AA59" s="59"/>
      <c r="AB59" s="70"/>
    </row>
    <row r="60" spans="1:28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</row>
  </sheetData>
  <mergeCells count="14">
    <mergeCell ref="B38:G38"/>
    <mergeCell ref="B39:G41"/>
    <mergeCell ref="B32:G32"/>
    <mergeCell ref="B33:G33"/>
    <mergeCell ref="B34:G34"/>
    <mergeCell ref="B35:G35"/>
    <mergeCell ref="B36:G36"/>
    <mergeCell ref="B37:G37"/>
    <mergeCell ref="B31:G31"/>
    <mergeCell ref="B26:G26"/>
    <mergeCell ref="B27:G27"/>
    <mergeCell ref="B28:G28"/>
    <mergeCell ref="B29:G29"/>
    <mergeCell ref="B30:G30"/>
  </mergeCells>
  <conditionalFormatting sqref="W4:Y21">
    <cfRule type="expression" dxfId="4" priority="1">
      <formula>W4&gt;=1.5</formula>
    </cfRule>
    <cfRule type="expression" dxfId="3" priority="2">
      <formula>W4&gt;=1</formula>
    </cfRule>
    <cfRule type="expression" dxfId="2" priority="3">
      <formula>W4&gt;=0.8</formula>
    </cfRule>
    <cfRule type="expression" dxfId="1" priority="5">
      <formula>W4&lt;1</formula>
    </cfRule>
  </conditionalFormatting>
  <conditionalFormatting sqref="X41:Z5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">
    <cfRule type="expression" dxfId="0" priority="4">
      <formula>$X$4&lt;1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F5FC-4646-41CE-824E-5467C4F2AA23}">
  <dimension ref="B2:N28"/>
  <sheetViews>
    <sheetView tabSelected="1" workbookViewId="0">
      <selection activeCell="O17" sqref="O17"/>
    </sheetView>
  </sheetViews>
  <sheetFormatPr baseColWidth="10" defaultColWidth="8.83203125" defaultRowHeight="15" x14ac:dyDescent="0.2"/>
  <cols>
    <col min="4" max="4" width="11.6640625" customWidth="1"/>
    <col min="5" max="5" width="20.5" customWidth="1"/>
    <col min="7" max="7" width="14.5" customWidth="1"/>
    <col min="8" max="8" width="12.5" customWidth="1"/>
    <col min="9" max="9" width="10.6640625" customWidth="1"/>
    <col min="10" max="10" width="18.5" customWidth="1"/>
    <col min="11" max="11" width="22.5" customWidth="1"/>
    <col min="12" max="12" width="18.1640625" customWidth="1"/>
    <col min="13" max="13" width="12.5" bestFit="1" customWidth="1"/>
    <col min="14" max="14" width="11.33203125" bestFit="1" customWidth="1"/>
  </cols>
  <sheetData>
    <row r="2" spans="2:14" x14ac:dyDescent="0.2">
      <c r="B2" s="41" t="s">
        <v>66</v>
      </c>
      <c r="M2" s="36"/>
      <c r="N2" s="36"/>
    </row>
    <row r="3" spans="2:14" ht="32" x14ac:dyDescent="0.2">
      <c r="B3" s="11" t="s">
        <v>12</v>
      </c>
      <c r="C3" s="11" t="s">
        <v>39</v>
      </c>
      <c r="D3" s="11" t="s">
        <v>6</v>
      </c>
      <c r="E3" s="11" t="s">
        <v>21</v>
      </c>
      <c r="F3" s="11" t="s">
        <v>22</v>
      </c>
      <c r="G3" s="38" t="s">
        <v>30</v>
      </c>
      <c r="H3" s="42" t="s">
        <v>24</v>
      </c>
      <c r="I3" s="42" t="s">
        <v>23</v>
      </c>
      <c r="J3" s="39" t="s">
        <v>28</v>
      </c>
      <c r="K3" s="39" t="s">
        <v>29</v>
      </c>
      <c r="L3" s="40" t="s">
        <v>89</v>
      </c>
      <c r="M3" s="36"/>
      <c r="N3" s="36"/>
    </row>
    <row r="4" spans="2:14" x14ac:dyDescent="0.2">
      <c r="B4" t="str">
        <f>BCA!B4</f>
        <v>A</v>
      </c>
      <c r="C4" t="str">
        <f>BCA!C4</f>
        <v>MSHP</v>
      </c>
      <c r="D4">
        <f>BCA!E4*12000</f>
        <v>12000</v>
      </c>
      <c r="E4">
        <f>BCA!F4</f>
        <v>20</v>
      </c>
      <c r="F4">
        <f>BCA!G4</f>
        <v>10.6</v>
      </c>
      <c r="G4" t="str">
        <f>BCA!H4</f>
        <v>Partial</v>
      </c>
      <c r="H4" s="8">
        <v>218</v>
      </c>
      <c r="I4" s="8">
        <v>535</v>
      </c>
      <c r="J4" s="9">
        <f t="shared" ref="J4:J19" si="0">D4*(1/E4)*H4/1000</f>
        <v>130.80000000000001</v>
      </c>
      <c r="K4" s="9">
        <f t="shared" ref="K4:K19" si="1">D4*(1/F4)*I4/1000</f>
        <v>605.66037735849056</v>
      </c>
      <c r="L4" s="10">
        <f>SUM(J4:K4)</f>
        <v>736.46037735849063</v>
      </c>
      <c r="M4" s="37"/>
      <c r="N4" s="37"/>
    </row>
    <row r="5" spans="2:14" x14ac:dyDescent="0.2">
      <c r="B5" t="str">
        <f>BCA!B5</f>
        <v>B</v>
      </c>
      <c r="C5" t="str">
        <f>BCA!C5</f>
        <v>MSHP</v>
      </c>
      <c r="D5">
        <f>BCA!E5*12000</f>
        <v>24000</v>
      </c>
      <c r="E5">
        <f>BCA!F5</f>
        <v>17.600000000000001</v>
      </c>
      <c r="F5">
        <f>BCA!G5</f>
        <v>10.6</v>
      </c>
      <c r="G5" t="str">
        <f>BCA!H5</f>
        <v>Partial</v>
      </c>
      <c r="H5" s="8">
        <v>218</v>
      </c>
      <c r="I5" s="8">
        <v>535</v>
      </c>
      <c r="J5" s="9">
        <f t="shared" si="0"/>
        <v>297.27272727272725</v>
      </c>
      <c r="K5" s="9">
        <f t="shared" si="1"/>
        <v>1211.3207547169811</v>
      </c>
      <c r="L5" s="10">
        <f t="shared" ref="L5:L19" si="2">SUM(J5:K5)</f>
        <v>1508.5934819897084</v>
      </c>
      <c r="M5" s="37"/>
      <c r="N5" s="37"/>
    </row>
    <row r="6" spans="2:14" x14ac:dyDescent="0.2">
      <c r="B6" t="str">
        <f>BCA!B6</f>
        <v>C</v>
      </c>
      <c r="C6" t="str">
        <f>BCA!C6</f>
        <v>MSHP</v>
      </c>
      <c r="D6">
        <f>BCA!E6*12000</f>
        <v>12000</v>
      </c>
      <c r="E6">
        <f>BCA!F6</f>
        <v>20</v>
      </c>
      <c r="F6">
        <f>BCA!G6</f>
        <v>10.6</v>
      </c>
      <c r="G6" t="str">
        <f>BCA!H6</f>
        <v>Partial</v>
      </c>
      <c r="H6" s="8">
        <v>218</v>
      </c>
      <c r="I6" s="8">
        <v>535</v>
      </c>
      <c r="J6" s="9">
        <f t="shared" si="0"/>
        <v>130.80000000000001</v>
      </c>
      <c r="K6" s="9">
        <f t="shared" si="1"/>
        <v>605.66037735849056</v>
      </c>
      <c r="L6" s="10">
        <f t="shared" si="2"/>
        <v>736.46037735849063</v>
      </c>
      <c r="M6" s="37"/>
      <c r="N6" s="37"/>
    </row>
    <row r="7" spans="2:14" x14ac:dyDescent="0.2">
      <c r="B7" t="str">
        <f>BCA!B7</f>
        <v>D</v>
      </c>
      <c r="C7" t="str">
        <f>BCA!C7</f>
        <v>MSHP</v>
      </c>
      <c r="D7">
        <f>BCA!E7*12000</f>
        <v>24000</v>
      </c>
      <c r="E7">
        <f>BCA!F7</f>
        <v>17.600000000000001</v>
      </c>
      <c r="F7">
        <f>BCA!G7</f>
        <v>10.6</v>
      </c>
      <c r="G7" t="str">
        <f>BCA!H7</f>
        <v>Partial</v>
      </c>
      <c r="H7" s="8">
        <v>218</v>
      </c>
      <c r="I7" s="8">
        <v>535</v>
      </c>
      <c r="J7" s="9">
        <f t="shared" si="0"/>
        <v>297.27272727272725</v>
      </c>
      <c r="K7" s="9">
        <f t="shared" si="1"/>
        <v>1211.3207547169811</v>
      </c>
      <c r="L7" s="10">
        <f t="shared" si="2"/>
        <v>1508.5934819897084</v>
      </c>
      <c r="M7" s="37"/>
      <c r="N7" s="37"/>
    </row>
    <row r="8" spans="2:14" x14ac:dyDescent="0.2">
      <c r="B8" t="str">
        <f>BCA!B8</f>
        <v>E</v>
      </c>
      <c r="C8" t="str">
        <f>BCA!C8</f>
        <v>MSHP</v>
      </c>
      <c r="D8">
        <f>BCA!E8*12000</f>
        <v>12000</v>
      </c>
      <c r="E8">
        <f>BCA!F8</f>
        <v>20</v>
      </c>
      <c r="F8">
        <f>BCA!G8</f>
        <v>10.6</v>
      </c>
      <c r="G8" t="str">
        <f>BCA!H8</f>
        <v>Partial</v>
      </c>
      <c r="H8" s="8">
        <v>218</v>
      </c>
      <c r="I8" s="8">
        <v>535</v>
      </c>
      <c r="J8" s="9">
        <f t="shared" si="0"/>
        <v>130.80000000000001</v>
      </c>
      <c r="K8" s="9">
        <f t="shared" si="1"/>
        <v>605.66037735849056</v>
      </c>
      <c r="L8" s="10">
        <f t="shared" si="2"/>
        <v>736.46037735849063</v>
      </c>
      <c r="M8" s="37"/>
      <c r="N8" s="37"/>
    </row>
    <row r="9" spans="2:14" x14ac:dyDescent="0.2">
      <c r="B9" t="str">
        <f>BCA!B9</f>
        <v>F</v>
      </c>
      <c r="C9" t="str">
        <f>BCA!C9</f>
        <v>MSHP</v>
      </c>
      <c r="D9">
        <f>BCA!E9*12000</f>
        <v>24000</v>
      </c>
      <c r="E9">
        <f>BCA!F9</f>
        <v>17.600000000000001</v>
      </c>
      <c r="F9">
        <f>BCA!G9</f>
        <v>10.6</v>
      </c>
      <c r="G9" t="str">
        <f>BCA!H9</f>
        <v>Partial</v>
      </c>
      <c r="H9" s="8">
        <v>218</v>
      </c>
      <c r="I9" s="8">
        <v>535</v>
      </c>
      <c r="J9" s="9">
        <f t="shared" si="0"/>
        <v>297.27272727272725</v>
      </c>
      <c r="K9" s="9">
        <f t="shared" si="1"/>
        <v>1211.3207547169811</v>
      </c>
      <c r="L9" s="10">
        <f t="shared" si="2"/>
        <v>1508.5934819897084</v>
      </c>
      <c r="M9" s="37"/>
      <c r="N9" s="37"/>
    </row>
    <row r="10" spans="2:14" x14ac:dyDescent="0.2">
      <c r="B10" t="str">
        <f>BCA!B10</f>
        <v xml:space="preserve">G </v>
      </c>
      <c r="C10" t="str">
        <f>BCA!C10</f>
        <v>MSHP</v>
      </c>
      <c r="D10">
        <f>BCA!E10*12000</f>
        <v>36000</v>
      </c>
      <c r="E10">
        <f>BCA!F10</f>
        <v>17.600000000000001</v>
      </c>
      <c r="F10">
        <f>BCA!G10</f>
        <v>10.6</v>
      </c>
      <c r="G10" t="str">
        <f>BCA!H10</f>
        <v>Full</v>
      </c>
      <c r="H10" s="90">
        <v>218</v>
      </c>
      <c r="I10" s="8">
        <v>862</v>
      </c>
      <c r="J10" s="9">
        <f t="shared" si="0"/>
        <v>445.90909090909093</v>
      </c>
      <c r="K10" s="9">
        <f t="shared" si="1"/>
        <v>2927.5471698113211</v>
      </c>
      <c r="L10" s="10">
        <f t="shared" si="2"/>
        <v>3373.456260720412</v>
      </c>
      <c r="M10" s="37"/>
      <c r="N10" s="37"/>
    </row>
    <row r="11" spans="2:14" x14ac:dyDescent="0.2">
      <c r="B11" t="str">
        <f>BCA!B11</f>
        <v>H</v>
      </c>
      <c r="C11" t="str">
        <f>BCA!C11</f>
        <v>MSHP</v>
      </c>
      <c r="D11">
        <f>BCA!E11*12000</f>
        <v>48000</v>
      </c>
      <c r="E11">
        <f>BCA!F11</f>
        <v>17.600000000000001</v>
      </c>
      <c r="F11">
        <f>BCA!G11</f>
        <v>10.6</v>
      </c>
      <c r="G11" t="str">
        <f>BCA!H11</f>
        <v>Full</v>
      </c>
      <c r="H11" s="90">
        <v>218</v>
      </c>
      <c r="I11" s="8">
        <v>862</v>
      </c>
      <c r="J11" s="9">
        <f t="shared" si="0"/>
        <v>594.5454545454545</v>
      </c>
      <c r="K11" s="9">
        <f t="shared" si="1"/>
        <v>3903.3962264150946</v>
      </c>
      <c r="L11" s="10">
        <f t="shared" si="2"/>
        <v>4497.9416809605491</v>
      </c>
      <c r="M11" s="37"/>
      <c r="N11" s="37"/>
    </row>
    <row r="12" spans="2:14" x14ac:dyDescent="0.2">
      <c r="B12" t="str">
        <f>BCA!B12</f>
        <v>I</v>
      </c>
      <c r="C12" t="str">
        <f>BCA!C12</f>
        <v>MSHP</v>
      </c>
      <c r="D12">
        <f>BCA!E12*12000</f>
        <v>36000</v>
      </c>
      <c r="E12">
        <f>BCA!F12</f>
        <v>17.600000000000001</v>
      </c>
      <c r="F12">
        <f>BCA!G12</f>
        <v>10.6</v>
      </c>
      <c r="G12" t="str">
        <f>BCA!H12</f>
        <v>Full</v>
      </c>
      <c r="H12" s="90">
        <v>218</v>
      </c>
      <c r="I12" s="8">
        <v>862</v>
      </c>
      <c r="J12" s="9">
        <f t="shared" si="0"/>
        <v>445.90909090909093</v>
      </c>
      <c r="K12" s="9">
        <f t="shared" si="1"/>
        <v>2927.5471698113211</v>
      </c>
      <c r="L12" s="10">
        <f t="shared" si="2"/>
        <v>3373.456260720412</v>
      </c>
      <c r="M12" s="37"/>
      <c r="N12" s="37"/>
    </row>
    <row r="13" spans="2:14" x14ac:dyDescent="0.2">
      <c r="B13" t="str">
        <f>BCA!B13</f>
        <v>J</v>
      </c>
      <c r="C13" t="str">
        <f>BCA!C13</f>
        <v>MSHP</v>
      </c>
      <c r="D13">
        <f>BCA!E13*12000</f>
        <v>48000</v>
      </c>
      <c r="E13">
        <f>BCA!F13</f>
        <v>17.600000000000001</v>
      </c>
      <c r="F13">
        <f>BCA!G13</f>
        <v>10.6</v>
      </c>
      <c r="G13" t="str">
        <f>BCA!H13</f>
        <v>Full</v>
      </c>
      <c r="H13" s="90">
        <v>218</v>
      </c>
      <c r="I13" s="8">
        <v>862</v>
      </c>
      <c r="J13" s="9">
        <f t="shared" si="0"/>
        <v>594.5454545454545</v>
      </c>
      <c r="K13" s="9">
        <f t="shared" si="1"/>
        <v>3903.3962264150946</v>
      </c>
      <c r="L13" s="10">
        <f t="shared" si="2"/>
        <v>4497.9416809605491</v>
      </c>
      <c r="M13" s="37"/>
      <c r="N13" s="37"/>
    </row>
    <row r="14" spans="2:14" x14ac:dyDescent="0.2">
      <c r="B14" t="str">
        <f>BCA!B14</f>
        <v>K</v>
      </c>
      <c r="C14" t="str">
        <f>BCA!C14</f>
        <v>MSHP</v>
      </c>
      <c r="D14">
        <f>BCA!E14*12000</f>
        <v>36000</v>
      </c>
      <c r="E14">
        <f>BCA!F14</f>
        <v>17.600000000000001</v>
      </c>
      <c r="F14">
        <f>BCA!G14</f>
        <v>10.6</v>
      </c>
      <c r="G14" t="str">
        <f>BCA!H14</f>
        <v>Full</v>
      </c>
      <c r="H14" s="90">
        <v>218</v>
      </c>
      <c r="I14" s="8">
        <v>862</v>
      </c>
      <c r="J14" s="9">
        <f t="shared" si="0"/>
        <v>445.90909090909093</v>
      </c>
      <c r="K14" s="9">
        <f t="shared" si="1"/>
        <v>2927.5471698113211</v>
      </c>
      <c r="L14" s="10">
        <f t="shared" si="2"/>
        <v>3373.456260720412</v>
      </c>
      <c r="M14" s="37"/>
      <c r="N14" s="37"/>
    </row>
    <row r="15" spans="2:14" x14ac:dyDescent="0.2">
      <c r="B15" t="str">
        <f>BCA!B15</f>
        <v>L</v>
      </c>
      <c r="C15" t="str">
        <f>BCA!C15</f>
        <v>MSHP</v>
      </c>
      <c r="D15">
        <f>BCA!E15*12000</f>
        <v>48000</v>
      </c>
      <c r="E15">
        <f>BCA!F15</f>
        <v>17.600000000000001</v>
      </c>
      <c r="F15">
        <f>BCA!G15</f>
        <v>10.6</v>
      </c>
      <c r="G15" t="str">
        <f>BCA!H15</f>
        <v>Full</v>
      </c>
      <c r="H15" s="90">
        <v>218</v>
      </c>
      <c r="I15" s="8">
        <v>862</v>
      </c>
      <c r="J15" s="9">
        <f t="shared" si="0"/>
        <v>594.5454545454545</v>
      </c>
      <c r="K15" s="9">
        <f t="shared" si="1"/>
        <v>3903.3962264150946</v>
      </c>
      <c r="L15" s="10">
        <f t="shared" si="2"/>
        <v>4497.9416809605491</v>
      </c>
      <c r="M15" s="37"/>
      <c r="N15" s="37"/>
    </row>
    <row r="16" spans="2:14" x14ac:dyDescent="0.2">
      <c r="B16" t="str">
        <f>BCA!B16</f>
        <v>M</v>
      </c>
      <c r="C16" t="str">
        <f>BCA!C16</f>
        <v>CASHP</v>
      </c>
      <c r="D16">
        <f>BCA!E16*12000</f>
        <v>36000</v>
      </c>
      <c r="E16">
        <f>BCA!F16</f>
        <v>17.600000000000001</v>
      </c>
      <c r="F16">
        <f>BCA!G16</f>
        <v>10.6</v>
      </c>
      <c r="G16" t="str">
        <f>BCA!H16</f>
        <v>Full</v>
      </c>
      <c r="H16" s="8">
        <v>419</v>
      </c>
      <c r="I16" s="8">
        <v>862</v>
      </c>
      <c r="J16" s="9">
        <f t="shared" si="0"/>
        <v>857.04545454545462</v>
      </c>
      <c r="K16" s="9">
        <f t="shared" si="1"/>
        <v>2927.5471698113211</v>
      </c>
      <c r="L16" s="10">
        <f t="shared" si="2"/>
        <v>3784.5926243567756</v>
      </c>
      <c r="M16" s="37"/>
      <c r="N16" s="37"/>
    </row>
    <row r="17" spans="2:14" x14ac:dyDescent="0.2">
      <c r="B17" t="str">
        <f>BCA!B17</f>
        <v>N</v>
      </c>
      <c r="C17" t="str">
        <f>BCA!C17</f>
        <v>CASHP</v>
      </c>
      <c r="D17">
        <f>BCA!E17*12000</f>
        <v>48000</v>
      </c>
      <c r="E17">
        <f>BCA!F17</f>
        <v>17.600000000000001</v>
      </c>
      <c r="F17">
        <f>BCA!G17</f>
        <v>10.6</v>
      </c>
      <c r="G17" t="str">
        <f>BCA!H17</f>
        <v>Full</v>
      </c>
      <c r="H17" s="8">
        <v>419</v>
      </c>
      <c r="I17" s="8">
        <v>862</v>
      </c>
      <c r="J17" s="9">
        <f t="shared" si="0"/>
        <v>1142.7272727272727</v>
      </c>
      <c r="K17" s="9">
        <f t="shared" si="1"/>
        <v>3903.3962264150946</v>
      </c>
      <c r="L17" s="10">
        <f t="shared" si="2"/>
        <v>5046.1234991423671</v>
      </c>
      <c r="M17" s="37"/>
      <c r="N17" s="37"/>
    </row>
    <row r="18" spans="2:14" x14ac:dyDescent="0.2">
      <c r="B18" t="str">
        <f>BCA!B18</f>
        <v>O</v>
      </c>
      <c r="C18" t="str">
        <f>BCA!C18</f>
        <v>CASHP</v>
      </c>
      <c r="D18">
        <f>BCA!E18*12000</f>
        <v>36000</v>
      </c>
      <c r="E18">
        <f>BCA!F18</f>
        <v>17.600000000000001</v>
      </c>
      <c r="F18">
        <f>BCA!G18</f>
        <v>10.6</v>
      </c>
      <c r="G18" t="str">
        <f>BCA!H18</f>
        <v>Full</v>
      </c>
      <c r="H18" s="8">
        <v>419</v>
      </c>
      <c r="I18" s="8">
        <v>862</v>
      </c>
      <c r="J18" s="9">
        <f t="shared" si="0"/>
        <v>857.04545454545462</v>
      </c>
      <c r="K18" s="9">
        <f t="shared" si="1"/>
        <v>2927.5471698113211</v>
      </c>
      <c r="L18" s="10">
        <f t="shared" si="2"/>
        <v>3784.5926243567756</v>
      </c>
      <c r="M18" s="37"/>
      <c r="N18" s="37"/>
    </row>
    <row r="19" spans="2:14" x14ac:dyDescent="0.2">
      <c r="B19" t="str">
        <f>BCA!B19</f>
        <v>P</v>
      </c>
      <c r="C19" t="str">
        <f>BCA!C19</f>
        <v>CASHP</v>
      </c>
      <c r="D19">
        <f>BCA!E19*12000</f>
        <v>48000</v>
      </c>
      <c r="E19">
        <f>BCA!F19</f>
        <v>17.600000000000001</v>
      </c>
      <c r="F19">
        <f>BCA!G19</f>
        <v>10.6</v>
      </c>
      <c r="G19" t="str">
        <f>BCA!H19</f>
        <v>Full</v>
      </c>
      <c r="H19" s="8">
        <v>419</v>
      </c>
      <c r="I19" s="8">
        <v>862</v>
      </c>
      <c r="J19" s="9">
        <f t="shared" si="0"/>
        <v>1142.7272727272727</v>
      </c>
      <c r="K19" s="9">
        <f t="shared" si="1"/>
        <v>3903.3962264150946</v>
      </c>
      <c r="L19" s="10">
        <f t="shared" si="2"/>
        <v>5046.1234991423671</v>
      </c>
      <c r="M19" s="37"/>
      <c r="N19" s="37"/>
    </row>
    <row r="20" spans="2:14" x14ac:dyDescent="0.2">
      <c r="G20" s="11" t="s">
        <v>9</v>
      </c>
      <c r="H20" t="s">
        <v>146</v>
      </c>
      <c r="I20" t="s">
        <v>68</v>
      </c>
      <c r="M20" s="36"/>
      <c r="N20" s="36"/>
    </row>
    <row r="24" spans="2:14" x14ac:dyDescent="0.2">
      <c r="B24" s="41" t="s">
        <v>67</v>
      </c>
    </row>
    <row r="25" spans="2:14" ht="48" x14ac:dyDescent="0.2">
      <c r="B25" s="11" t="s">
        <v>12</v>
      </c>
      <c r="C25" s="11" t="s">
        <v>39</v>
      </c>
      <c r="D25" s="11" t="s">
        <v>65</v>
      </c>
      <c r="E25" s="38" t="s">
        <v>26</v>
      </c>
      <c r="F25" s="11" t="s">
        <v>25</v>
      </c>
      <c r="G25" s="38" t="s">
        <v>27</v>
      </c>
      <c r="H25" s="11"/>
    </row>
    <row r="26" spans="2:14" x14ac:dyDescent="0.2">
      <c r="B26" t="str">
        <f>BCA!B20</f>
        <v>Q</v>
      </c>
      <c r="C26" t="str">
        <f>BCA!C20</f>
        <v>HP WH</v>
      </c>
      <c r="D26">
        <f>BCA!E20</f>
        <v>50</v>
      </c>
      <c r="E26" s="6">
        <v>11197132</v>
      </c>
      <c r="F26">
        <f>BCA!G20</f>
        <v>3.3</v>
      </c>
      <c r="G26">
        <f>(E26/3412)/F26</f>
        <v>994.45202316245695</v>
      </c>
    </row>
    <row r="27" spans="2:14" x14ac:dyDescent="0.2">
      <c r="B27" t="str">
        <f>BCA!B21</f>
        <v>R</v>
      </c>
      <c r="C27" t="str">
        <f>BCA!C21</f>
        <v>HP WH</v>
      </c>
      <c r="D27">
        <f>BCA!E21</f>
        <v>50</v>
      </c>
      <c r="E27" s="6">
        <v>11197132</v>
      </c>
      <c r="F27">
        <f>BCA!G21</f>
        <v>3.3</v>
      </c>
      <c r="G27">
        <f>(E27/3412)/F27</f>
        <v>994.45202316245695</v>
      </c>
    </row>
    <row r="28" spans="2:14" x14ac:dyDescent="0.2">
      <c r="D28" s="11" t="s">
        <v>9</v>
      </c>
      <c r="E28" t="s">
        <v>64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5569-527C-4459-BEC0-5C221E87B1D2}">
  <dimension ref="B2:O28"/>
  <sheetViews>
    <sheetView topLeftCell="G7" workbookViewId="0">
      <selection activeCell="Q9" sqref="Q9"/>
    </sheetView>
  </sheetViews>
  <sheetFormatPr baseColWidth="10" defaultColWidth="8.83203125" defaultRowHeight="15" x14ac:dyDescent="0.2"/>
  <cols>
    <col min="4" max="4" width="10.6640625" customWidth="1"/>
    <col min="5" max="5" width="14.1640625" customWidth="1"/>
    <col min="6" max="6" width="20.5" customWidth="1"/>
    <col min="7" max="7" width="16.6640625" bestFit="1" customWidth="1"/>
    <col min="8" max="9" width="13.5" customWidth="1"/>
    <col min="10" max="10" width="12.5" customWidth="1"/>
    <col min="11" max="11" width="10.6640625" customWidth="1"/>
    <col min="12" max="12" width="19.5" customWidth="1"/>
    <col min="13" max="13" width="18.83203125" customWidth="1"/>
    <col min="14" max="14" width="21.6640625" customWidth="1"/>
    <col min="15" max="15" width="18.33203125" customWidth="1"/>
  </cols>
  <sheetData>
    <row r="2" spans="2:15" x14ac:dyDescent="0.2">
      <c r="B2" s="41" t="s">
        <v>66</v>
      </c>
    </row>
    <row r="3" spans="2:15" ht="32" x14ac:dyDescent="0.2">
      <c r="B3" s="38" t="s">
        <v>12</v>
      </c>
      <c r="C3" s="38" t="s">
        <v>39</v>
      </c>
      <c r="D3" s="38" t="s">
        <v>6</v>
      </c>
      <c r="E3" s="38" t="s">
        <v>30</v>
      </c>
      <c r="F3" s="38" t="str">
        <f>BCA!J3</f>
        <v>Baseline Cooling</v>
      </c>
      <c r="G3" s="38" t="str">
        <f>BCA!K3</f>
        <v>Baseline Heating</v>
      </c>
      <c r="H3" s="38" t="s">
        <v>90</v>
      </c>
      <c r="I3" s="38" t="s">
        <v>87</v>
      </c>
      <c r="J3" s="39" t="s">
        <v>24</v>
      </c>
      <c r="K3" s="39" t="s">
        <v>23</v>
      </c>
      <c r="L3" s="39" t="s">
        <v>28</v>
      </c>
      <c r="M3" s="39" t="s">
        <v>29</v>
      </c>
      <c r="N3" s="39" t="s">
        <v>96</v>
      </c>
      <c r="O3" s="40" t="s">
        <v>89</v>
      </c>
    </row>
    <row r="4" spans="2:15" x14ac:dyDescent="0.2">
      <c r="B4" t="str">
        <f>BCA!B4</f>
        <v>A</v>
      </c>
      <c r="C4" t="str">
        <f>BCA!C4</f>
        <v>MSHP</v>
      </c>
      <c r="D4">
        <f>BCA!E4*12000</f>
        <v>12000</v>
      </c>
      <c r="E4" t="str">
        <f>BCA!H4</f>
        <v>Partial</v>
      </c>
      <c r="F4" t="str">
        <f>BCA!J4</f>
        <v>Window AC</v>
      </c>
      <c r="G4" t="str">
        <f>BCA!K4</f>
        <v>Oil Boiler</v>
      </c>
      <c r="H4">
        <v>11</v>
      </c>
      <c r="I4" s="35">
        <v>0.8</v>
      </c>
      <c r="J4" s="8">
        <f>'HP Consumption'!H4</f>
        <v>218</v>
      </c>
      <c r="K4" s="8">
        <f>'HP Consumption'!I4</f>
        <v>535</v>
      </c>
      <c r="L4" s="9">
        <f>D4*(1/H4)*J4/1000</f>
        <v>237.81818181818181</v>
      </c>
      <c r="M4" s="9"/>
      <c r="N4" s="9">
        <f>D4*(1/I4)*K4/1000000</f>
        <v>8.0250000000000004</v>
      </c>
      <c r="O4" s="10">
        <f>SUM(L4:M4)</f>
        <v>237.81818181818181</v>
      </c>
    </row>
    <row r="5" spans="2:15" x14ac:dyDescent="0.2">
      <c r="B5" t="str">
        <f>BCA!B5</f>
        <v>B</v>
      </c>
      <c r="C5" t="str">
        <f>BCA!C5</f>
        <v>MSHP</v>
      </c>
      <c r="D5">
        <f>BCA!E5*12000</f>
        <v>24000</v>
      </c>
      <c r="E5" t="str">
        <f>BCA!H5</f>
        <v>Partial</v>
      </c>
      <c r="F5" t="str">
        <f>BCA!J5</f>
        <v>Window AC</v>
      </c>
      <c r="G5" t="str">
        <f>BCA!K5</f>
        <v>Oil Boiler</v>
      </c>
      <c r="H5">
        <v>11</v>
      </c>
      <c r="I5" s="35">
        <v>0.8</v>
      </c>
      <c r="J5" s="8">
        <f>'HP Consumption'!H5</f>
        <v>218</v>
      </c>
      <c r="K5" s="8">
        <f>'HP Consumption'!I5</f>
        <v>535</v>
      </c>
      <c r="L5" s="9">
        <f>D5*(1/H5)*J5/1000</f>
        <v>475.63636363636363</v>
      </c>
      <c r="M5" s="9"/>
      <c r="N5" s="9">
        <f>D5*(1/I5)*K5/1000000</f>
        <v>16.05</v>
      </c>
      <c r="O5" s="10">
        <f t="shared" ref="O5:O19" si="0">SUM(L5:M5)</f>
        <v>475.63636363636363</v>
      </c>
    </row>
    <row r="6" spans="2:15" x14ac:dyDescent="0.2">
      <c r="B6" t="str">
        <f>BCA!B6</f>
        <v>C</v>
      </c>
      <c r="C6" t="str">
        <f>BCA!C6</f>
        <v>MSHP</v>
      </c>
      <c r="D6">
        <f>BCA!E6*12000</f>
        <v>12000</v>
      </c>
      <c r="E6" t="str">
        <f>BCA!H6</f>
        <v>Partial</v>
      </c>
      <c r="F6" t="str">
        <f>BCA!J6</f>
        <v>Window AC</v>
      </c>
      <c r="G6" t="str">
        <f>BCA!K6</f>
        <v>Electric Resistance</v>
      </c>
      <c r="H6">
        <v>11</v>
      </c>
      <c r="I6" s="35">
        <v>1</v>
      </c>
      <c r="J6" s="8">
        <f>'HP Consumption'!H6</f>
        <v>218</v>
      </c>
      <c r="K6" s="8">
        <f>'HP Consumption'!I6</f>
        <v>535</v>
      </c>
      <c r="L6" s="9">
        <f>D6*(1/H6)*J6/1000</f>
        <v>237.81818181818181</v>
      </c>
      <c r="M6" s="9">
        <f>D6*(1/I6)*K6/3412</f>
        <v>1881.5943728018758</v>
      </c>
      <c r="N6" s="9"/>
      <c r="O6" s="10">
        <f>SUM(L6:M6)</f>
        <v>2119.4125546200576</v>
      </c>
    </row>
    <row r="7" spans="2:15" x14ac:dyDescent="0.2">
      <c r="B7" t="str">
        <f>BCA!B7</f>
        <v>D</v>
      </c>
      <c r="C7" t="str">
        <f>BCA!C7</f>
        <v>MSHP</v>
      </c>
      <c r="D7">
        <f>BCA!E7*12000</f>
        <v>24000</v>
      </c>
      <c r="E7" t="str">
        <f>BCA!H7</f>
        <v>Partial</v>
      </c>
      <c r="F7" t="str">
        <f>BCA!J7</f>
        <v>Window AC</v>
      </c>
      <c r="G7" t="str">
        <f>BCA!K7</f>
        <v>Electric Resistance</v>
      </c>
      <c r="H7">
        <v>11</v>
      </c>
      <c r="I7" s="35">
        <v>1</v>
      </c>
      <c r="J7" s="8">
        <f>'HP Consumption'!H7</f>
        <v>218</v>
      </c>
      <c r="K7" s="8">
        <f>'HP Consumption'!I7</f>
        <v>535</v>
      </c>
      <c r="L7" s="9">
        <f>D7*(1/H7)*J7/1000</f>
        <v>475.63636363636363</v>
      </c>
      <c r="M7" s="9">
        <f>D7*(1/I7)*K7/3412</f>
        <v>3763.1887456037516</v>
      </c>
      <c r="N7" s="9"/>
      <c r="O7" s="10">
        <f t="shared" si="0"/>
        <v>4238.8251092401151</v>
      </c>
    </row>
    <row r="8" spans="2:15" x14ac:dyDescent="0.2">
      <c r="B8" t="str">
        <f>BCA!B8</f>
        <v>E</v>
      </c>
      <c r="C8" t="str">
        <f>BCA!C8</f>
        <v>MSHP</v>
      </c>
      <c r="D8">
        <f>BCA!E8*12000</f>
        <v>12000</v>
      </c>
      <c r="E8" t="str">
        <f>BCA!H8</f>
        <v>Partial</v>
      </c>
      <c r="F8" t="str">
        <f>BCA!J8</f>
        <v>No cooling</v>
      </c>
      <c r="G8" t="str">
        <f>BCA!K8</f>
        <v>Electric Resistance</v>
      </c>
      <c r="H8" t="s">
        <v>7</v>
      </c>
      <c r="I8" s="35">
        <v>1</v>
      </c>
      <c r="J8" s="8">
        <f>'HP Consumption'!H8</f>
        <v>218</v>
      </c>
      <c r="K8" s="8">
        <f>'HP Consumption'!I8</f>
        <v>535</v>
      </c>
      <c r="L8" s="9">
        <f>IFERROR(D8*(1/H8)*J8/1000,0)</f>
        <v>0</v>
      </c>
      <c r="M8" s="9">
        <f>D8*(1/I8)*K8/3412</f>
        <v>1881.5943728018758</v>
      </c>
      <c r="N8" s="9"/>
      <c r="O8" s="10">
        <f t="shared" si="0"/>
        <v>1881.5943728018758</v>
      </c>
    </row>
    <row r="9" spans="2:15" x14ac:dyDescent="0.2">
      <c r="B9" t="str">
        <f>BCA!B9</f>
        <v>F</v>
      </c>
      <c r="C9" t="str">
        <f>BCA!C9</f>
        <v>MSHP</v>
      </c>
      <c r="D9">
        <f>BCA!E9*12000</f>
        <v>24000</v>
      </c>
      <c r="E9" t="str">
        <f>BCA!H9</f>
        <v>Partial</v>
      </c>
      <c r="F9" t="str">
        <f>BCA!J9</f>
        <v>No cooling</v>
      </c>
      <c r="G9" t="str">
        <f>BCA!K9</f>
        <v>Electric Resistance</v>
      </c>
      <c r="H9" t="s">
        <v>7</v>
      </c>
      <c r="I9" s="35">
        <v>1</v>
      </c>
      <c r="J9" s="8">
        <f>'HP Consumption'!H9</f>
        <v>218</v>
      </c>
      <c r="K9" s="8">
        <f>'HP Consumption'!I9</f>
        <v>535</v>
      </c>
      <c r="L9" s="9">
        <f>IFERROR(D9*(1/H9)*J9/1000,0)</f>
        <v>0</v>
      </c>
      <c r="M9" s="9">
        <f>D9*(1/I9)*K9/3412</f>
        <v>3763.1887456037516</v>
      </c>
      <c r="N9" s="9"/>
      <c r="O9" s="10">
        <f t="shared" si="0"/>
        <v>3763.1887456037516</v>
      </c>
    </row>
    <row r="10" spans="2:15" x14ac:dyDescent="0.2">
      <c r="B10" t="str">
        <f>BCA!B10</f>
        <v xml:space="preserve">G </v>
      </c>
      <c r="C10" t="str">
        <f>BCA!C10</f>
        <v>MSHP</v>
      </c>
      <c r="D10">
        <f>BCA!E10*12000</f>
        <v>36000</v>
      </c>
      <c r="E10" t="str">
        <f>BCA!H10</f>
        <v>Full</v>
      </c>
      <c r="F10" t="str">
        <f>BCA!J10</f>
        <v>Window AC</v>
      </c>
      <c r="G10" t="str">
        <f>BCA!K10</f>
        <v>Oil Boiler</v>
      </c>
      <c r="H10">
        <v>11</v>
      </c>
      <c r="I10" s="35">
        <v>0.84</v>
      </c>
      <c r="J10" s="8">
        <f>'HP Consumption'!H10</f>
        <v>218</v>
      </c>
      <c r="K10" s="8">
        <f>'HP Consumption'!I10</f>
        <v>862</v>
      </c>
      <c r="L10" s="9">
        <f>D10*(1/H10)*J10/1000</f>
        <v>713.4545454545455</v>
      </c>
      <c r="M10" s="9"/>
      <c r="N10" s="9">
        <f>D10*(1/I10)*K10/1000000</f>
        <v>36.942857142857143</v>
      </c>
      <c r="O10" s="10">
        <f t="shared" si="0"/>
        <v>713.4545454545455</v>
      </c>
    </row>
    <row r="11" spans="2:15" x14ac:dyDescent="0.2">
      <c r="B11" t="str">
        <f>BCA!B11</f>
        <v>H</v>
      </c>
      <c r="C11" t="str">
        <f>BCA!C11</f>
        <v>MSHP</v>
      </c>
      <c r="D11">
        <f>BCA!E11*12000</f>
        <v>48000</v>
      </c>
      <c r="E11" t="str">
        <f>BCA!H11</f>
        <v>Full</v>
      </c>
      <c r="F11" t="str">
        <f>BCA!J11</f>
        <v>Window AC</v>
      </c>
      <c r="G11" t="str">
        <f>BCA!K11</f>
        <v>Oil Boiler</v>
      </c>
      <c r="H11">
        <v>11</v>
      </c>
      <c r="I11" s="35">
        <v>0.84</v>
      </c>
      <c r="J11" s="8">
        <f>'HP Consumption'!H11</f>
        <v>218</v>
      </c>
      <c r="K11" s="8">
        <f>'HP Consumption'!I11</f>
        <v>862</v>
      </c>
      <c r="L11" s="9">
        <f>D11*(1/H11)*J11/1000</f>
        <v>951.27272727272725</v>
      </c>
      <c r="M11" s="9"/>
      <c r="N11" s="9">
        <f>D11*(1/I11)*K11/1000000</f>
        <v>49.25714285714286</v>
      </c>
      <c r="O11" s="10">
        <f t="shared" si="0"/>
        <v>951.27272727272725</v>
      </c>
    </row>
    <row r="12" spans="2:15" x14ac:dyDescent="0.2">
      <c r="B12" t="str">
        <f>BCA!B12</f>
        <v>I</v>
      </c>
      <c r="C12" t="str">
        <f>BCA!C12</f>
        <v>MSHP</v>
      </c>
      <c r="D12">
        <f>BCA!E12*12000</f>
        <v>36000</v>
      </c>
      <c r="E12" t="str">
        <f>BCA!H12</f>
        <v>Full</v>
      </c>
      <c r="F12" t="str">
        <f>BCA!J12</f>
        <v>Window AC</v>
      </c>
      <c r="G12" t="str">
        <f>BCA!K12</f>
        <v>Electric Resistance</v>
      </c>
      <c r="H12">
        <v>11</v>
      </c>
      <c r="I12" s="35">
        <v>1</v>
      </c>
      <c r="J12" s="8">
        <f>'HP Consumption'!H12</f>
        <v>218</v>
      </c>
      <c r="K12" s="8">
        <f>'HP Consumption'!I12</f>
        <v>862</v>
      </c>
      <c r="L12" s="9">
        <f>D12*(1/H12)*J12/1000</f>
        <v>713.4545454545455</v>
      </c>
      <c r="M12" s="9">
        <f>D12*(1/I12)*K12/3412</f>
        <v>9094.9589683470113</v>
      </c>
      <c r="N12" s="9"/>
      <c r="O12" s="10">
        <f t="shared" si="0"/>
        <v>9808.4135138015572</v>
      </c>
    </row>
    <row r="13" spans="2:15" x14ac:dyDescent="0.2">
      <c r="B13" t="str">
        <f>BCA!B13</f>
        <v>J</v>
      </c>
      <c r="C13" t="str">
        <f>BCA!C13</f>
        <v>MSHP</v>
      </c>
      <c r="D13">
        <f>BCA!E13*12000</f>
        <v>48000</v>
      </c>
      <c r="E13" t="str">
        <f>BCA!H13</f>
        <v>Full</v>
      </c>
      <c r="F13" t="str">
        <f>BCA!J13</f>
        <v>Window AC</v>
      </c>
      <c r="G13" t="str">
        <f>BCA!K13</f>
        <v>Electric Resistance</v>
      </c>
      <c r="H13">
        <v>11</v>
      </c>
      <c r="I13" s="35">
        <v>1</v>
      </c>
      <c r="J13" s="8">
        <f>'HP Consumption'!H13</f>
        <v>218</v>
      </c>
      <c r="K13" s="8">
        <f>'HP Consumption'!I13</f>
        <v>862</v>
      </c>
      <c r="L13" s="9">
        <f>D13*(1/H13)*J13/1000</f>
        <v>951.27272727272725</v>
      </c>
      <c r="M13" s="9">
        <f>D13*(1/I13)*K13/3412</f>
        <v>12126.611957796014</v>
      </c>
      <c r="N13" s="9"/>
      <c r="O13" s="10">
        <f>SUM(L13:M13)</f>
        <v>13077.884685068742</v>
      </c>
    </row>
    <row r="14" spans="2:15" x14ac:dyDescent="0.2">
      <c r="B14" t="str">
        <f>BCA!B14</f>
        <v>K</v>
      </c>
      <c r="C14" t="str">
        <f>BCA!C14</f>
        <v>MSHP</v>
      </c>
      <c r="D14">
        <f>BCA!E14*12000</f>
        <v>36000</v>
      </c>
      <c r="E14" t="str">
        <f>BCA!H14</f>
        <v>Full</v>
      </c>
      <c r="F14" t="str">
        <f>BCA!J14</f>
        <v>No cooling</v>
      </c>
      <c r="G14" t="str">
        <f>BCA!K14</f>
        <v>Electric Resistance</v>
      </c>
      <c r="H14" t="s">
        <v>7</v>
      </c>
      <c r="I14" s="35">
        <v>1</v>
      </c>
      <c r="J14" s="8">
        <f>'HP Consumption'!H14</f>
        <v>218</v>
      </c>
      <c r="K14" s="8">
        <f>'HP Consumption'!I14</f>
        <v>862</v>
      </c>
      <c r="L14" s="9">
        <f>IFERROR(D14*(1/H14)*J14/1000,0)</f>
        <v>0</v>
      </c>
      <c r="M14" s="9">
        <f>D14*(1/I14)*K14/3412</f>
        <v>9094.9589683470113</v>
      </c>
      <c r="N14" s="9"/>
      <c r="O14" s="10">
        <f t="shared" si="0"/>
        <v>9094.9589683470113</v>
      </c>
    </row>
    <row r="15" spans="2:15" x14ac:dyDescent="0.2">
      <c r="B15" t="str">
        <f>BCA!B15</f>
        <v>L</v>
      </c>
      <c r="C15" t="str">
        <f>BCA!C15</f>
        <v>MSHP</v>
      </c>
      <c r="D15">
        <f>BCA!E15*12000</f>
        <v>48000</v>
      </c>
      <c r="E15" t="str">
        <f>BCA!H15</f>
        <v>Full</v>
      </c>
      <c r="F15" t="str">
        <f>BCA!J15</f>
        <v>No cooling</v>
      </c>
      <c r="G15" t="str">
        <f>BCA!K15</f>
        <v>Electric Resistance</v>
      </c>
      <c r="H15" t="s">
        <v>7</v>
      </c>
      <c r="I15" s="35">
        <v>1</v>
      </c>
      <c r="J15" s="8">
        <f>'HP Consumption'!H15</f>
        <v>218</v>
      </c>
      <c r="K15" s="8">
        <f>'HP Consumption'!I15</f>
        <v>862</v>
      </c>
      <c r="L15" s="9">
        <f>IFERROR(D15*(1/H15)*J15/1000,0)</f>
        <v>0</v>
      </c>
      <c r="M15" s="9">
        <f>D15*(1/I15)*K15/3412</f>
        <v>12126.611957796014</v>
      </c>
      <c r="N15" s="9"/>
      <c r="O15" s="10">
        <f t="shared" si="0"/>
        <v>12126.611957796014</v>
      </c>
    </row>
    <row r="16" spans="2:15" x14ac:dyDescent="0.2">
      <c r="B16" t="str">
        <f>BCA!B16</f>
        <v>M</v>
      </c>
      <c r="C16" t="str">
        <f>BCA!C16</f>
        <v>CASHP</v>
      </c>
      <c r="D16">
        <f>BCA!E16*12000</f>
        <v>36000</v>
      </c>
      <c r="E16" t="str">
        <f>BCA!H16</f>
        <v>Full</v>
      </c>
      <c r="F16" t="str">
        <f>BCA!J16</f>
        <v>Central AC</v>
      </c>
      <c r="G16" t="str">
        <f>BCA!K16</f>
        <v>Oil Boiler</v>
      </c>
      <c r="H16">
        <v>13</v>
      </c>
      <c r="I16" s="35">
        <v>0.84</v>
      </c>
      <c r="J16" s="8">
        <f>'HP Consumption'!H16</f>
        <v>419</v>
      </c>
      <c r="K16" s="8">
        <f>'HP Consumption'!I16</f>
        <v>862</v>
      </c>
      <c r="L16" s="9">
        <f>D16*(1/H16)*J16/1000</f>
        <v>1160.3076923076924</v>
      </c>
      <c r="M16" s="9"/>
      <c r="N16" s="9">
        <f>D16*(1/I16)*K16/1000000</f>
        <v>36.942857142857143</v>
      </c>
      <c r="O16" s="10">
        <f t="shared" si="0"/>
        <v>1160.3076923076924</v>
      </c>
    </row>
    <row r="17" spans="2:15" x14ac:dyDescent="0.2">
      <c r="B17" t="str">
        <f>BCA!B17</f>
        <v>N</v>
      </c>
      <c r="C17" t="str">
        <f>BCA!C17</f>
        <v>CASHP</v>
      </c>
      <c r="D17">
        <f>BCA!E17*12000</f>
        <v>48000</v>
      </c>
      <c r="E17" t="str">
        <f>BCA!H17</f>
        <v>Full</v>
      </c>
      <c r="F17" t="str">
        <f>BCA!J17</f>
        <v>Central AC</v>
      </c>
      <c r="G17" t="str">
        <f>BCA!K17</f>
        <v>Oil Boiler</v>
      </c>
      <c r="H17">
        <v>13</v>
      </c>
      <c r="I17" s="35">
        <v>0.84</v>
      </c>
      <c r="J17" s="8">
        <f>'HP Consumption'!H17</f>
        <v>419</v>
      </c>
      <c r="K17" s="8">
        <f>'HP Consumption'!I17</f>
        <v>862</v>
      </c>
      <c r="L17" s="9">
        <f t="shared" ref="L17:L19" si="1">D17*(1/H17)*J17/1000</f>
        <v>1547.0769230769231</v>
      </c>
      <c r="M17" s="9"/>
      <c r="N17" s="9">
        <f>D17*(1/I17)*K17/1000000</f>
        <v>49.25714285714286</v>
      </c>
      <c r="O17" s="10">
        <f t="shared" si="0"/>
        <v>1547.0769230769231</v>
      </c>
    </row>
    <row r="18" spans="2:15" x14ac:dyDescent="0.2">
      <c r="B18" t="str">
        <f>BCA!B18</f>
        <v>O</v>
      </c>
      <c r="C18" t="str">
        <f>BCA!C18</f>
        <v>CASHP</v>
      </c>
      <c r="D18">
        <f>BCA!E18*12000</f>
        <v>36000</v>
      </c>
      <c r="E18" t="str">
        <f>BCA!H18</f>
        <v>Full</v>
      </c>
      <c r="F18" t="str">
        <f>BCA!J18</f>
        <v>Central AC</v>
      </c>
      <c r="G18" t="str">
        <f>BCA!K18</f>
        <v>Electric Resistance</v>
      </c>
      <c r="H18">
        <v>13</v>
      </c>
      <c r="I18" s="35">
        <v>1</v>
      </c>
      <c r="J18" s="8">
        <f>'HP Consumption'!H18</f>
        <v>419</v>
      </c>
      <c r="K18" s="8">
        <f>'HP Consumption'!I18</f>
        <v>862</v>
      </c>
      <c r="L18" s="9">
        <f t="shared" si="1"/>
        <v>1160.3076923076924</v>
      </c>
      <c r="M18" s="9">
        <f>D18*(1/I18)*K18/3412</f>
        <v>9094.9589683470113</v>
      </c>
      <c r="N18" s="9"/>
      <c r="O18" s="10">
        <f t="shared" si="0"/>
        <v>10255.266660654703</v>
      </c>
    </row>
    <row r="19" spans="2:15" x14ac:dyDescent="0.2">
      <c r="B19" t="str">
        <f>BCA!B19</f>
        <v>P</v>
      </c>
      <c r="C19" t="str">
        <f>BCA!C19</f>
        <v>CASHP</v>
      </c>
      <c r="D19">
        <f>BCA!E19*12000</f>
        <v>48000</v>
      </c>
      <c r="E19" t="str">
        <f>BCA!H19</f>
        <v>Full</v>
      </c>
      <c r="F19" t="str">
        <f>BCA!J19</f>
        <v>Central AC</v>
      </c>
      <c r="G19" t="str">
        <f>BCA!K19</f>
        <v>Electric Resistance</v>
      </c>
      <c r="H19">
        <v>13</v>
      </c>
      <c r="I19" s="35">
        <v>1</v>
      </c>
      <c r="J19" s="8">
        <f>'HP Consumption'!H19</f>
        <v>419</v>
      </c>
      <c r="K19" s="8">
        <f>'HP Consumption'!I19</f>
        <v>862</v>
      </c>
      <c r="L19" s="9">
        <f t="shared" si="1"/>
        <v>1547.0769230769231</v>
      </c>
      <c r="M19" s="9">
        <f>D19*(1/I19)*K19/3412</f>
        <v>12126.611957796014</v>
      </c>
      <c r="N19" s="9"/>
      <c r="O19" s="10">
        <f t="shared" si="0"/>
        <v>13673.688880872938</v>
      </c>
    </row>
    <row r="20" spans="2:15" x14ac:dyDescent="0.2">
      <c r="G20" s="11" t="s">
        <v>9</v>
      </c>
      <c r="H20" t="s">
        <v>148</v>
      </c>
      <c r="I20" t="s">
        <v>88</v>
      </c>
      <c r="J20" t="str">
        <f>'HP Consumption'!H20</f>
        <v>2021 4.2.6 Ductless HP PSD for MSHP, 2021 ASHP MA TRM for CASHP (PSD does not have a value for ASHP)</v>
      </c>
      <c r="K20" t="str">
        <f>'HP Consumption'!I20</f>
        <v>2021 4.2.6 Ductless HP PSD for partial displacement, 2021 4.2.2 Residential Heat Pump PSD for full</v>
      </c>
    </row>
    <row r="24" spans="2:15" x14ac:dyDescent="0.2">
      <c r="B24" s="41" t="s">
        <v>67</v>
      </c>
    </row>
    <row r="25" spans="2:15" ht="48" x14ac:dyDescent="0.2">
      <c r="B25" s="11" t="s">
        <v>12</v>
      </c>
      <c r="C25" s="11" t="s">
        <v>39</v>
      </c>
      <c r="D25" s="11" t="s">
        <v>65</v>
      </c>
      <c r="E25" s="11" t="s">
        <v>10</v>
      </c>
      <c r="F25" s="38" t="s">
        <v>26</v>
      </c>
      <c r="G25" s="11" t="s">
        <v>25</v>
      </c>
      <c r="H25" s="38" t="s">
        <v>27</v>
      </c>
      <c r="I25" s="38" t="s">
        <v>97</v>
      </c>
    </row>
    <row r="26" spans="2:15" x14ac:dyDescent="0.2">
      <c r="B26" t="str">
        <f>BCA!B20</f>
        <v>Q</v>
      </c>
      <c r="C26" t="str">
        <f>BCA!C20</f>
        <v>HP WH</v>
      </c>
      <c r="D26">
        <f>BCA!E20</f>
        <v>50</v>
      </c>
      <c r="E26" t="str">
        <f>BCA!K20</f>
        <v>Electric WH</v>
      </c>
      <c r="F26" s="6">
        <v>11197132</v>
      </c>
      <c r="G26">
        <v>0.93</v>
      </c>
      <c r="H26" s="54">
        <f>(F26/3412)/G26</f>
        <v>3528.7007273506533</v>
      </c>
      <c r="I26" s="54"/>
    </row>
    <row r="27" spans="2:15" x14ac:dyDescent="0.2">
      <c r="B27" t="str">
        <f>BCA!B21</f>
        <v>R</v>
      </c>
      <c r="C27" t="str">
        <f>BCA!C21</f>
        <v>HP WH</v>
      </c>
      <c r="D27">
        <f>BCA!E21</f>
        <v>50</v>
      </c>
      <c r="E27" t="str">
        <f>BCA!K21</f>
        <v>Oil WH</v>
      </c>
      <c r="F27" s="6">
        <v>11197132</v>
      </c>
      <c r="G27">
        <v>0.8</v>
      </c>
      <c r="H27" s="54"/>
      <c r="I27" s="54">
        <f>F27/G27/1000000</f>
        <v>13.996415000000001</v>
      </c>
    </row>
    <row r="28" spans="2:15" x14ac:dyDescent="0.2">
      <c r="E28" s="11" t="s">
        <v>92</v>
      </c>
      <c r="F28" t="s">
        <v>64</v>
      </c>
      <c r="G28" t="s">
        <v>91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4962-6E31-4DD3-AF49-8993EB6D2B31}">
  <dimension ref="A1:Z89"/>
  <sheetViews>
    <sheetView topLeftCell="A10" zoomScaleNormal="100" workbookViewId="0">
      <selection activeCell="I22" sqref="I22"/>
    </sheetView>
  </sheetViews>
  <sheetFormatPr baseColWidth="10" defaultColWidth="8.83203125" defaultRowHeight="15" x14ac:dyDescent="0.2"/>
  <cols>
    <col min="3" max="3" width="8.1640625" customWidth="1"/>
    <col min="4" max="4" width="17" customWidth="1"/>
    <col min="5" max="5" width="17.6640625" customWidth="1"/>
    <col min="6" max="6" width="13.1640625" customWidth="1"/>
    <col min="7" max="7" width="12" customWidth="1"/>
    <col min="8" max="8" width="18.5" customWidth="1"/>
    <col min="9" max="9" width="11.5" customWidth="1"/>
    <col min="10" max="10" width="11.1640625" customWidth="1"/>
    <col min="11" max="11" width="10.5" customWidth="1"/>
    <col min="12" max="12" width="11.5" customWidth="1"/>
    <col min="13" max="13" width="10.83203125" customWidth="1"/>
    <col min="14" max="14" width="10.5" customWidth="1"/>
    <col min="15" max="15" width="10.1640625" customWidth="1"/>
    <col min="16" max="16" width="11.5" customWidth="1"/>
    <col min="17" max="17" width="17.83203125" customWidth="1"/>
    <col min="18" max="18" width="10.33203125" customWidth="1"/>
    <col min="19" max="19" width="9.83203125" customWidth="1"/>
    <col min="20" max="20" width="12.6640625" customWidth="1"/>
    <col min="21" max="21" width="8.6640625" customWidth="1"/>
    <col min="22" max="22" width="68.83203125" bestFit="1" customWidth="1"/>
  </cols>
  <sheetData>
    <row r="1" spans="1:22" x14ac:dyDescent="0.2">
      <c r="A1" s="23"/>
      <c r="B1" s="24"/>
      <c r="C1" s="24"/>
      <c r="D1" s="25"/>
      <c r="E1" s="25"/>
      <c r="F1" s="26"/>
      <c r="G1" s="24"/>
      <c r="H1" s="27"/>
      <c r="I1" s="115" t="s">
        <v>38</v>
      </c>
      <c r="J1" s="116"/>
      <c r="K1" s="116"/>
      <c r="L1" s="117"/>
      <c r="M1" s="115" t="s">
        <v>37</v>
      </c>
      <c r="N1" s="116"/>
      <c r="O1" s="116"/>
      <c r="P1" s="117"/>
      <c r="Q1" s="28" t="s">
        <v>86</v>
      </c>
      <c r="R1" s="115" t="s">
        <v>11</v>
      </c>
      <c r="S1" s="116"/>
      <c r="T1" s="116"/>
      <c r="U1" s="117"/>
      <c r="V1" s="11"/>
    </row>
    <row r="2" spans="1:22" ht="31.5" customHeight="1" x14ac:dyDescent="0.2">
      <c r="A2" s="43" t="str">
        <f>BCA!B3</f>
        <v>Scenario</v>
      </c>
      <c r="B2" s="44" t="str">
        <f>BCA!C3</f>
        <v>Type</v>
      </c>
      <c r="C2" s="44" t="str">
        <f>BCA!E3</f>
        <v>Tons/ Gallons</v>
      </c>
      <c r="D2" s="45" t="str">
        <f>BCA!F3</f>
        <v>Cooling Efficiency (SEER)</v>
      </c>
      <c r="E2" s="45" t="str">
        <f>BCA!G3</f>
        <v>Heating Efficiency (HSPF/UEF)</v>
      </c>
      <c r="F2" s="44" t="str">
        <f>BCA!H3</f>
        <v>Heating Displacement</v>
      </c>
      <c r="G2" s="44" t="str">
        <f>BCA!J3</f>
        <v>Baseline Cooling</v>
      </c>
      <c r="H2" s="46" t="str">
        <f>BCA!K3</f>
        <v>Baseline Heating</v>
      </c>
      <c r="I2" s="43" t="s">
        <v>70</v>
      </c>
      <c r="J2" s="44" t="s">
        <v>71</v>
      </c>
      <c r="K2" s="44" t="s">
        <v>72</v>
      </c>
      <c r="L2" s="46" t="s">
        <v>4</v>
      </c>
      <c r="M2" s="43" t="s">
        <v>70</v>
      </c>
      <c r="N2" s="44" t="s">
        <v>71</v>
      </c>
      <c r="O2" s="44" t="s">
        <v>72</v>
      </c>
      <c r="P2" s="46" t="s">
        <v>4</v>
      </c>
      <c r="Q2" s="47" t="s">
        <v>72</v>
      </c>
      <c r="R2" s="43" t="s">
        <v>1</v>
      </c>
      <c r="S2" s="44" t="s">
        <v>2</v>
      </c>
      <c r="T2" s="44" t="s">
        <v>3</v>
      </c>
      <c r="U2" s="46" t="s">
        <v>4</v>
      </c>
      <c r="V2" s="11"/>
    </row>
    <row r="3" spans="1:22" x14ac:dyDescent="0.2">
      <c r="A3" s="14" t="str">
        <f>BCA!B4</f>
        <v>A</v>
      </c>
      <c r="B3" s="15" t="str">
        <f>BCA!C4</f>
        <v>MSHP</v>
      </c>
      <c r="C3" s="15">
        <f>BCA!E4</f>
        <v>1</v>
      </c>
      <c r="D3" s="15">
        <f>BCA!F4</f>
        <v>20</v>
      </c>
      <c r="E3" s="15">
        <f>BCA!G4</f>
        <v>10.6</v>
      </c>
      <c r="F3" s="15" t="str">
        <f>BCA!H4</f>
        <v>Partial</v>
      </c>
      <c r="G3" s="15" t="str">
        <f>BCA!J4</f>
        <v>Window AC</v>
      </c>
      <c r="H3" s="16" t="str">
        <f>BCA!K4</f>
        <v>Oil Boiler</v>
      </c>
      <c r="I3" s="29">
        <f>650*(12000/10000)*C3</f>
        <v>780</v>
      </c>
      <c r="J3" s="30">
        <f>57.12*(12000/10000)*C3</f>
        <v>68.543999999999997</v>
      </c>
      <c r="K3" s="30">
        <f>SUM(I3:J3)</f>
        <v>848.54399999999998</v>
      </c>
      <c r="L3" s="16" t="s">
        <v>73</v>
      </c>
      <c r="M3" s="29">
        <v>0</v>
      </c>
      <c r="N3" s="30">
        <v>0</v>
      </c>
      <c r="O3" s="30">
        <f>SUM(M3:N3)</f>
        <v>0</v>
      </c>
      <c r="P3" s="16"/>
      <c r="Q3" s="33">
        <f>SUM(K3,O3)</f>
        <v>848.54399999999998</v>
      </c>
      <c r="R3" s="14" t="s">
        <v>74</v>
      </c>
      <c r="S3" s="15" t="s">
        <v>74</v>
      </c>
      <c r="T3" s="30">
        <f>5203.86*C3</f>
        <v>5203.8599999999997</v>
      </c>
      <c r="U3" s="20" t="s">
        <v>118</v>
      </c>
    </row>
    <row r="4" spans="1:22" x14ac:dyDescent="0.2">
      <c r="A4" s="14" t="str">
        <f>BCA!B5</f>
        <v>B</v>
      </c>
      <c r="B4" s="15" t="str">
        <f>BCA!C5</f>
        <v>MSHP</v>
      </c>
      <c r="C4" s="15">
        <f>BCA!E5</f>
        <v>2</v>
      </c>
      <c r="D4" s="15">
        <f>BCA!F5</f>
        <v>17.600000000000001</v>
      </c>
      <c r="E4" s="15">
        <f>BCA!G5</f>
        <v>10.6</v>
      </c>
      <c r="F4" s="15" t="str">
        <f>BCA!H5</f>
        <v>Partial</v>
      </c>
      <c r="G4" s="15" t="str">
        <f>BCA!J5</f>
        <v>Window AC</v>
      </c>
      <c r="H4" s="16" t="str">
        <f>BCA!K5</f>
        <v>Oil Boiler</v>
      </c>
      <c r="I4" s="29">
        <f t="shared" ref="I4:I6" si="0">650*(12000/10000)*C4</f>
        <v>1560</v>
      </c>
      <c r="J4" s="30">
        <f t="shared" ref="J4:J6" si="1">57.12*(12000/10000)*C4</f>
        <v>137.08799999999999</v>
      </c>
      <c r="K4" s="30">
        <f t="shared" ref="K4:K18" si="2">SUM(I4:J4)</f>
        <v>1697.088</v>
      </c>
      <c r="L4" s="16" t="s">
        <v>73</v>
      </c>
      <c r="M4" s="29">
        <v>0</v>
      </c>
      <c r="N4" s="30">
        <v>0</v>
      </c>
      <c r="O4" s="30">
        <f t="shared" ref="O4:O16" si="3">SUM(M4:N4)</f>
        <v>0</v>
      </c>
      <c r="P4" s="16"/>
      <c r="Q4" s="33">
        <f t="shared" ref="Q4:Q20" si="4">SUM(K4,O4)</f>
        <v>1697.088</v>
      </c>
      <c r="R4" s="14" t="s">
        <v>74</v>
      </c>
      <c r="S4" s="15" t="s">
        <v>74</v>
      </c>
      <c r="T4" s="30">
        <f t="shared" ref="T4:T14" si="5">5203.86*C4</f>
        <v>10407.719999999999</v>
      </c>
      <c r="U4" s="20" t="s">
        <v>118</v>
      </c>
    </row>
    <row r="5" spans="1:22" x14ac:dyDescent="0.2">
      <c r="A5" s="14" t="str">
        <f>BCA!B6</f>
        <v>C</v>
      </c>
      <c r="B5" s="15" t="str">
        <f>BCA!C6</f>
        <v>MSHP</v>
      </c>
      <c r="C5" s="15">
        <f>BCA!E6</f>
        <v>1</v>
      </c>
      <c r="D5" s="15">
        <f>BCA!F6</f>
        <v>20</v>
      </c>
      <c r="E5" s="15">
        <f>BCA!G6</f>
        <v>10.6</v>
      </c>
      <c r="F5" s="15" t="str">
        <f>BCA!H6</f>
        <v>Partial</v>
      </c>
      <c r="G5" s="15" t="str">
        <f>BCA!J6</f>
        <v>Window AC</v>
      </c>
      <c r="H5" s="16" t="str">
        <f>BCA!K6</f>
        <v>Electric Resistance</v>
      </c>
      <c r="I5" s="29">
        <f t="shared" si="0"/>
        <v>780</v>
      </c>
      <c r="J5" s="30">
        <f t="shared" si="1"/>
        <v>68.543999999999997</v>
      </c>
      <c r="K5" s="30">
        <f t="shared" si="2"/>
        <v>848.54399999999998</v>
      </c>
      <c r="L5" s="16" t="s">
        <v>73</v>
      </c>
      <c r="M5" s="29">
        <v>0</v>
      </c>
      <c r="N5" s="30">
        <v>0</v>
      </c>
      <c r="O5" s="30">
        <f t="shared" si="3"/>
        <v>0</v>
      </c>
      <c r="P5" s="16"/>
      <c r="Q5" s="33">
        <f t="shared" si="4"/>
        <v>848.54399999999998</v>
      </c>
      <c r="R5" s="14" t="s">
        <v>74</v>
      </c>
      <c r="S5" s="15" t="s">
        <v>74</v>
      </c>
      <c r="T5" s="30">
        <f t="shared" si="5"/>
        <v>5203.8599999999997</v>
      </c>
      <c r="U5" s="20" t="s">
        <v>118</v>
      </c>
    </row>
    <row r="6" spans="1:22" x14ac:dyDescent="0.2">
      <c r="A6" s="14" t="str">
        <f>BCA!B7</f>
        <v>D</v>
      </c>
      <c r="B6" s="15" t="str">
        <f>BCA!C7</f>
        <v>MSHP</v>
      </c>
      <c r="C6" s="15">
        <f>BCA!E7</f>
        <v>2</v>
      </c>
      <c r="D6" s="15">
        <f>BCA!F7</f>
        <v>17.600000000000001</v>
      </c>
      <c r="E6" s="15">
        <f>BCA!G7</f>
        <v>10.6</v>
      </c>
      <c r="F6" s="15" t="str">
        <f>BCA!H7</f>
        <v>Partial</v>
      </c>
      <c r="G6" s="15" t="str">
        <f>BCA!J7</f>
        <v>Window AC</v>
      </c>
      <c r="H6" s="16" t="str">
        <f>BCA!K7</f>
        <v>Electric Resistance</v>
      </c>
      <c r="I6" s="29">
        <f t="shared" si="0"/>
        <v>1560</v>
      </c>
      <c r="J6" s="30">
        <f t="shared" si="1"/>
        <v>137.08799999999999</v>
      </c>
      <c r="K6" s="30">
        <f t="shared" si="2"/>
        <v>1697.088</v>
      </c>
      <c r="L6" s="16" t="s">
        <v>73</v>
      </c>
      <c r="M6" s="29">
        <v>0</v>
      </c>
      <c r="N6" s="30">
        <v>0</v>
      </c>
      <c r="O6" s="30">
        <f t="shared" si="3"/>
        <v>0</v>
      </c>
      <c r="P6" s="16"/>
      <c r="Q6" s="33">
        <f t="shared" si="4"/>
        <v>1697.088</v>
      </c>
      <c r="R6" s="14" t="s">
        <v>74</v>
      </c>
      <c r="S6" s="15" t="s">
        <v>74</v>
      </c>
      <c r="T6" s="30">
        <f t="shared" si="5"/>
        <v>10407.719999999999</v>
      </c>
      <c r="U6" s="20" t="s">
        <v>118</v>
      </c>
    </row>
    <row r="7" spans="1:22" x14ac:dyDescent="0.2">
      <c r="A7" s="14" t="str">
        <f>BCA!B8</f>
        <v>E</v>
      </c>
      <c r="B7" s="15" t="str">
        <f>BCA!C8</f>
        <v>MSHP</v>
      </c>
      <c r="C7" s="15">
        <f>BCA!E8</f>
        <v>1</v>
      </c>
      <c r="D7" s="15">
        <f>BCA!F8</f>
        <v>20</v>
      </c>
      <c r="E7" s="15">
        <f>BCA!G8</f>
        <v>10.6</v>
      </c>
      <c r="F7" s="15" t="str">
        <f>BCA!H8</f>
        <v>Partial</v>
      </c>
      <c r="G7" s="15" t="str">
        <f>BCA!J8</f>
        <v>No cooling</v>
      </c>
      <c r="H7" s="16" t="str">
        <f>BCA!K8</f>
        <v>Electric Resistance</v>
      </c>
      <c r="I7" s="29">
        <v>0</v>
      </c>
      <c r="J7" s="30">
        <v>0</v>
      </c>
      <c r="K7" s="30">
        <f t="shared" si="2"/>
        <v>0</v>
      </c>
      <c r="L7" s="16" t="s">
        <v>73</v>
      </c>
      <c r="M7" s="29">
        <v>0</v>
      </c>
      <c r="N7" s="30">
        <v>0</v>
      </c>
      <c r="O7" s="30">
        <f t="shared" si="3"/>
        <v>0</v>
      </c>
      <c r="P7" s="16"/>
      <c r="Q7" s="33">
        <f t="shared" si="4"/>
        <v>0</v>
      </c>
      <c r="R7" s="14" t="s">
        <v>74</v>
      </c>
      <c r="S7" s="15" t="s">
        <v>74</v>
      </c>
      <c r="T7" s="30">
        <f t="shared" si="5"/>
        <v>5203.8599999999997</v>
      </c>
      <c r="U7" s="20" t="s">
        <v>118</v>
      </c>
    </row>
    <row r="8" spans="1:22" x14ac:dyDescent="0.2">
      <c r="A8" s="14" t="str">
        <f>BCA!B9</f>
        <v>F</v>
      </c>
      <c r="B8" s="15" t="str">
        <f>BCA!C9</f>
        <v>MSHP</v>
      </c>
      <c r="C8" s="15">
        <f>BCA!E9</f>
        <v>2</v>
      </c>
      <c r="D8" s="15">
        <f>BCA!F9</f>
        <v>17.600000000000001</v>
      </c>
      <c r="E8" s="15">
        <f>BCA!G9</f>
        <v>10.6</v>
      </c>
      <c r="F8" s="15" t="str">
        <f>BCA!H9</f>
        <v>Partial</v>
      </c>
      <c r="G8" s="15" t="str">
        <f>BCA!J9</f>
        <v>No cooling</v>
      </c>
      <c r="H8" s="16" t="str">
        <f>BCA!K9</f>
        <v>Electric Resistance</v>
      </c>
      <c r="I8" s="29">
        <v>0</v>
      </c>
      <c r="J8" s="30">
        <v>0</v>
      </c>
      <c r="K8" s="30">
        <f t="shared" si="2"/>
        <v>0</v>
      </c>
      <c r="L8" s="16" t="s">
        <v>73</v>
      </c>
      <c r="M8" s="29">
        <v>0</v>
      </c>
      <c r="N8" s="30">
        <v>0</v>
      </c>
      <c r="O8" s="30">
        <f t="shared" si="3"/>
        <v>0</v>
      </c>
      <c r="P8" s="16"/>
      <c r="Q8" s="33">
        <f t="shared" si="4"/>
        <v>0</v>
      </c>
      <c r="R8" s="14" t="s">
        <v>74</v>
      </c>
      <c r="S8" s="15" t="s">
        <v>74</v>
      </c>
      <c r="T8" s="30">
        <f t="shared" si="5"/>
        <v>10407.719999999999</v>
      </c>
      <c r="U8" s="20" t="s">
        <v>118</v>
      </c>
    </row>
    <row r="9" spans="1:22" x14ac:dyDescent="0.2">
      <c r="A9" s="14" t="str">
        <f>BCA!B10</f>
        <v xml:space="preserve">G </v>
      </c>
      <c r="B9" s="15" t="str">
        <f>BCA!C10</f>
        <v>MSHP</v>
      </c>
      <c r="C9" s="15">
        <f>BCA!E10</f>
        <v>3</v>
      </c>
      <c r="D9" s="15">
        <f>BCA!F10</f>
        <v>17.600000000000001</v>
      </c>
      <c r="E9" s="15">
        <f>BCA!G10</f>
        <v>10.6</v>
      </c>
      <c r="F9" s="15" t="str">
        <f>BCA!H10</f>
        <v>Full</v>
      </c>
      <c r="G9" s="15" t="str">
        <f>BCA!J10</f>
        <v>Window AC</v>
      </c>
      <c r="H9" s="16" t="str">
        <f>BCA!K10</f>
        <v>Oil Boiler</v>
      </c>
      <c r="I9" s="29">
        <f t="shared" ref="I9" si="6">650*(12000/10000)*C9</f>
        <v>2340</v>
      </c>
      <c r="J9" s="30">
        <f t="shared" ref="J9" si="7">57.12*(12000/10000)*C9</f>
        <v>205.63200000000001</v>
      </c>
      <c r="K9" s="30">
        <f t="shared" si="2"/>
        <v>2545.6320000000001</v>
      </c>
      <c r="L9" s="16" t="s">
        <v>73</v>
      </c>
      <c r="M9" s="29">
        <v>2010</v>
      </c>
      <c r="N9" s="30">
        <v>648.54999999999995</v>
      </c>
      <c r="O9" s="30">
        <f t="shared" si="3"/>
        <v>2658.55</v>
      </c>
      <c r="P9" s="16" t="s">
        <v>73</v>
      </c>
      <c r="Q9" s="33">
        <f t="shared" si="4"/>
        <v>5204.1820000000007</v>
      </c>
      <c r="R9" s="14" t="s">
        <v>74</v>
      </c>
      <c r="S9" s="15" t="s">
        <v>74</v>
      </c>
      <c r="T9" s="30">
        <f t="shared" si="5"/>
        <v>15611.579999999998</v>
      </c>
      <c r="U9" s="20" t="s">
        <v>118</v>
      </c>
    </row>
    <row r="10" spans="1:22" x14ac:dyDescent="0.2">
      <c r="A10" s="14" t="str">
        <f>BCA!B11</f>
        <v>H</v>
      </c>
      <c r="B10" s="15" t="str">
        <f>BCA!C11</f>
        <v>MSHP</v>
      </c>
      <c r="C10" s="15">
        <f>BCA!E11</f>
        <v>4</v>
      </c>
      <c r="D10" s="15">
        <f>BCA!F11</f>
        <v>17.600000000000001</v>
      </c>
      <c r="E10" s="15">
        <f>BCA!G11</f>
        <v>10.6</v>
      </c>
      <c r="F10" s="15" t="str">
        <f>BCA!H11</f>
        <v>Full</v>
      </c>
      <c r="G10" s="15" t="str">
        <f>BCA!J11</f>
        <v>Window AC</v>
      </c>
      <c r="H10" s="16" t="str">
        <f>BCA!K11</f>
        <v>Oil Boiler</v>
      </c>
      <c r="I10" s="29">
        <f t="shared" ref="I10:I12" si="8">650*(12000/10000)*C10</f>
        <v>3120</v>
      </c>
      <c r="J10" s="30">
        <f t="shared" ref="J10:J12" si="9">57.12*(12000/10000)*C10</f>
        <v>274.17599999999999</v>
      </c>
      <c r="K10" s="30">
        <f t="shared" si="2"/>
        <v>3394.1759999999999</v>
      </c>
      <c r="L10" s="16" t="s">
        <v>73</v>
      </c>
      <c r="M10" s="29">
        <v>2010</v>
      </c>
      <c r="N10" s="30">
        <v>648.54999999999995</v>
      </c>
      <c r="O10" s="30">
        <f t="shared" si="3"/>
        <v>2658.55</v>
      </c>
      <c r="P10" s="16" t="s">
        <v>73</v>
      </c>
      <c r="Q10" s="33">
        <f t="shared" si="4"/>
        <v>6052.7260000000006</v>
      </c>
      <c r="R10" s="14" t="s">
        <v>74</v>
      </c>
      <c r="S10" s="15" t="s">
        <v>74</v>
      </c>
      <c r="T10" s="30">
        <f t="shared" si="5"/>
        <v>20815.439999999999</v>
      </c>
      <c r="U10" s="20" t="s">
        <v>118</v>
      </c>
    </row>
    <row r="11" spans="1:22" x14ac:dyDescent="0.2">
      <c r="A11" s="14" t="str">
        <f>BCA!B12</f>
        <v>I</v>
      </c>
      <c r="B11" s="15" t="str">
        <f>BCA!C12</f>
        <v>MSHP</v>
      </c>
      <c r="C11" s="15">
        <f>BCA!E12</f>
        <v>3</v>
      </c>
      <c r="D11" s="15">
        <f>BCA!F12</f>
        <v>17.600000000000001</v>
      </c>
      <c r="E11" s="15">
        <f>BCA!G12</f>
        <v>10.6</v>
      </c>
      <c r="F11" s="15" t="str">
        <f>BCA!H12</f>
        <v>Full</v>
      </c>
      <c r="G11" s="15" t="str">
        <f>BCA!J12</f>
        <v>Window AC</v>
      </c>
      <c r="H11" s="16" t="str">
        <f>BCA!K12</f>
        <v>Electric Resistance</v>
      </c>
      <c r="I11" s="29">
        <f t="shared" si="8"/>
        <v>2340</v>
      </c>
      <c r="J11" s="30">
        <f t="shared" si="9"/>
        <v>205.63200000000001</v>
      </c>
      <c r="K11" s="30">
        <f t="shared" si="2"/>
        <v>2545.6320000000001</v>
      </c>
      <c r="L11" s="16" t="s">
        <v>73</v>
      </c>
      <c r="M11" s="29"/>
      <c r="N11" s="30"/>
      <c r="O11" s="30"/>
      <c r="P11" s="16" t="s">
        <v>73</v>
      </c>
      <c r="Q11" s="33">
        <f t="shared" si="4"/>
        <v>2545.6320000000001</v>
      </c>
      <c r="R11" s="14" t="s">
        <v>74</v>
      </c>
      <c r="S11" s="15" t="s">
        <v>74</v>
      </c>
      <c r="T11" s="30">
        <f t="shared" si="5"/>
        <v>15611.579999999998</v>
      </c>
      <c r="U11" s="20" t="s">
        <v>118</v>
      </c>
    </row>
    <row r="12" spans="1:22" x14ac:dyDescent="0.2">
      <c r="A12" s="14" t="str">
        <f>BCA!B13</f>
        <v>J</v>
      </c>
      <c r="B12" s="15" t="str">
        <f>BCA!C13</f>
        <v>MSHP</v>
      </c>
      <c r="C12" s="15">
        <f>BCA!E13</f>
        <v>4</v>
      </c>
      <c r="D12" s="15">
        <f>BCA!F13</f>
        <v>17.600000000000001</v>
      </c>
      <c r="E12" s="15">
        <f>BCA!G13</f>
        <v>10.6</v>
      </c>
      <c r="F12" s="15" t="str">
        <f>BCA!H13</f>
        <v>Full</v>
      </c>
      <c r="G12" s="15" t="str">
        <f>BCA!J13</f>
        <v>Window AC</v>
      </c>
      <c r="H12" s="16" t="str">
        <f>BCA!K13</f>
        <v>Electric Resistance</v>
      </c>
      <c r="I12" s="29">
        <f t="shared" si="8"/>
        <v>3120</v>
      </c>
      <c r="J12" s="30">
        <f t="shared" si="9"/>
        <v>274.17599999999999</v>
      </c>
      <c r="K12" s="30">
        <f t="shared" si="2"/>
        <v>3394.1759999999999</v>
      </c>
      <c r="L12" s="16" t="s">
        <v>73</v>
      </c>
      <c r="M12" s="29"/>
      <c r="N12" s="30"/>
      <c r="O12" s="30"/>
      <c r="P12" s="16" t="s">
        <v>73</v>
      </c>
      <c r="Q12" s="33">
        <f t="shared" si="4"/>
        <v>3394.1759999999999</v>
      </c>
      <c r="R12" s="14" t="s">
        <v>74</v>
      </c>
      <c r="S12" s="15" t="s">
        <v>74</v>
      </c>
      <c r="T12" s="30">
        <f t="shared" si="5"/>
        <v>20815.439999999999</v>
      </c>
      <c r="U12" s="20" t="s">
        <v>118</v>
      </c>
    </row>
    <row r="13" spans="1:22" x14ac:dyDescent="0.2">
      <c r="A13" s="14" t="str">
        <f>BCA!B14</f>
        <v>K</v>
      </c>
      <c r="B13" s="15" t="str">
        <f>BCA!C14</f>
        <v>MSHP</v>
      </c>
      <c r="C13" s="15">
        <f>BCA!E14</f>
        <v>3</v>
      </c>
      <c r="D13" s="15">
        <f>BCA!F14</f>
        <v>17.600000000000001</v>
      </c>
      <c r="E13" s="15">
        <f>BCA!G14</f>
        <v>10.6</v>
      </c>
      <c r="F13" s="15" t="str">
        <f>BCA!H14</f>
        <v>Full</v>
      </c>
      <c r="G13" s="15" t="str">
        <f>BCA!J14</f>
        <v>No cooling</v>
      </c>
      <c r="H13" s="16" t="str">
        <f>BCA!K14</f>
        <v>Electric Resistance</v>
      </c>
      <c r="I13" s="29">
        <v>0</v>
      </c>
      <c r="J13" s="30">
        <v>0</v>
      </c>
      <c r="K13" s="30">
        <f t="shared" si="2"/>
        <v>0</v>
      </c>
      <c r="L13" s="16" t="s">
        <v>73</v>
      </c>
      <c r="M13" s="29"/>
      <c r="N13" s="30"/>
      <c r="O13" s="30"/>
      <c r="P13" s="16" t="s">
        <v>73</v>
      </c>
      <c r="Q13" s="33">
        <f t="shared" si="4"/>
        <v>0</v>
      </c>
      <c r="R13" s="14" t="s">
        <v>74</v>
      </c>
      <c r="S13" s="15" t="s">
        <v>74</v>
      </c>
      <c r="T13" s="30">
        <f t="shared" si="5"/>
        <v>15611.579999999998</v>
      </c>
      <c r="U13" s="20" t="s">
        <v>118</v>
      </c>
    </row>
    <row r="14" spans="1:22" x14ac:dyDescent="0.2">
      <c r="A14" s="14" t="str">
        <f>BCA!B15</f>
        <v>L</v>
      </c>
      <c r="B14" s="15" t="str">
        <f>BCA!C15</f>
        <v>MSHP</v>
      </c>
      <c r="C14" s="15">
        <f>BCA!E15</f>
        <v>4</v>
      </c>
      <c r="D14" s="15">
        <f>BCA!F15</f>
        <v>17.600000000000001</v>
      </c>
      <c r="E14" s="15">
        <f>BCA!G15</f>
        <v>10.6</v>
      </c>
      <c r="F14" s="15" t="str">
        <f>BCA!H15</f>
        <v>Full</v>
      </c>
      <c r="G14" s="15" t="str">
        <f>BCA!J15</f>
        <v>No cooling</v>
      </c>
      <c r="H14" s="16" t="str">
        <f>BCA!K15</f>
        <v>Electric Resistance</v>
      </c>
      <c r="I14" s="29">
        <v>0</v>
      </c>
      <c r="J14" s="30">
        <v>0</v>
      </c>
      <c r="K14" s="30">
        <f t="shared" si="2"/>
        <v>0</v>
      </c>
      <c r="L14" s="16" t="s">
        <v>73</v>
      </c>
      <c r="M14" s="29"/>
      <c r="N14" s="30"/>
      <c r="O14" s="30"/>
      <c r="P14" s="16" t="s">
        <v>73</v>
      </c>
      <c r="Q14" s="33">
        <f t="shared" si="4"/>
        <v>0</v>
      </c>
      <c r="R14" s="14" t="s">
        <v>74</v>
      </c>
      <c r="S14" s="15" t="s">
        <v>74</v>
      </c>
      <c r="T14" s="30">
        <f t="shared" si="5"/>
        <v>20815.439999999999</v>
      </c>
      <c r="U14" s="20" t="s">
        <v>118</v>
      </c>
    </row>
    <row r="15" spans="1:22" x14ac:dyDescent="0.2">
      <c r="A15" s="14" t="str">
        <f>BCA!B16</f>
        <v>M</v>
      </c>
      <c r="B15" s="15" t="str">
        <f>BCA!C16</f>
        <v>CASHP</v>
      </c>
      <c r="C15" s="15">
        <f>BCA!E16</f>
        <v>3</v>
      </c>
      <c r="D15" s="15">
        <f>BCA!F16</f>
        <v>17.600000000000001</v>
      </c>
      <c r="E15" s="15">
        <f>BCA!G16</f>
        <v>10.6</v>
      </c>
      <c r="F15" s="15" t="str">
        <f>BCA!H16</f>
        <v>Full</v>
      </c>
      <c r="G15" s="15" t="str">
        <f>BCA!J16</f>
        <v>Central AC</v>
      </c>
      <c r="H15" s="16" t="str">
        <f>BCA!K16</f>
        <v>Oil Boiler</v>
      </c>
      <c r="I15" s="29">
        <v>1250</v>
      </c>
      <c r="J15" s="30">
        <v>553.35</v>
      </c>
      <c r="K15" s="30">
        <f t="shared" si="2"/>
        <v>1803.35</v>
      </c>
      <c r="L15" s="16" t="s">
        <v>73</v>
      </c>
      <c r="M15" s="29">
        <v>2010</v>
      </c>
      <c r="N15" s="30">
        <v>648.54999999999995</v>
      </c>
      <c r="O15" s="30">
        <f t="shared" si="3"/>
        <v>2658.55</v>
      </c>
      <c r="P15" s="16" t="s">
        <v>73</v>
      </c>
      <c r="Q15" s="33">
        <f t="shared" si="4"/>
        <v>4461.8999999999996</v>
      </c>
      <c r="R15" s="14" t="s">
        <v>74</v>
      </c>
      <c r="S15" s="15" t="s">
        <v>74</v>
      </c>
      <c r="T15" s="30">
        <f>5033*C15</f>
        <v>15099</v>
      </c>
      <c r="U15" s="20" t="s">
        <v>83</v>
      </c>
    </row>
    <row r="16" spans="1:22" x14ac:dyDescent="0.2">
      <c r="A16" s="14" t="str">
        <f>BCA!B17</f>
        <v>N</v>
      </c>
      <c r="B16" s="15" t="str">
        <f>BCA!C17</f>
        <v>CASHP</v>
      </c>
      <c r="C16" s="15">
        <f>BCA!E17</f>
        <v>4</v>
      </c>
      <c r="D16" s="15">
        <f>BCA!F17</f>
        <v>17.600000000000001</v>
      </c>
      <c r="E16" s="15">
        <f>BCA!G17</f>
        <v>10.6</v>
      </c>
      <c r="F16" s="15" t="str">
        <f>BCA!H17</f>
        <v>Full</v>
      </c>
      <c r="G16" s="15" t="str">
        <f>BCA!J17</f>
        <v>Central AC</v>
      </c>
      <c r="H16" s="16" t="str">
        <f>BCA!K17</f>
        <v>Oil Boiler</v>
      </c>
      <c r="I16" s="29">
        <f>I15*C16/C15</f>
        <v>1666.6666666666667</v>
      </c>
      <c r="J16" s="29">
        <f>J15*C16/C15</f>
        <v>737.80000000000007</v>
      </c>
      <c r="K16" s="30">
        <f t="shared" si="2"/>
        <v>2404.4666666666667</v>
      </c>
      <c r="L16" s="16" t="s">
        <v>73</v>
      </c>
      <c r="M16" s="29">
        <v>2010</v>
      </c>
      <c r="N16" s="30">
        <v>648.54999999999995</v>
      </c>
      <c r="O16" s="30">
        <f t="shared" si="3"/>
        <v>2658.55</v>
      </c>
      <c r="P16" s="16" t="s">
        <v>73</v>
      </c>
      <c r="Q16" s="33">
        <f t="shared" si="4"/>
        <v>5063.0166666666664</v>
      </c>
      <c r="R16" s="14" t="s">
        <v>74</v>
      </c>
      <c r="S16" s="15" t="s">
        <v>74</v>
      </c>
      <c r="T16" s="30">
        <f>T15*C16/C15</f>
        <v>20132</v>
      </c>
      <c r="U16" s="20" t="s">
        <v>119</v>
      </c>
    </row>
    <row r="17" spans="1:26" x14ac:dyDescent="0.2">
      <c r="A17" s="14" t="str">
        <f>BCA!B18</f>
        <v>O</v>
      </c>
      <c r="B17" s="15" t="str">
        <f>BCA!C18</f>
        <v>CASHP</v>
      </c>
      <c r="C17" s="15">
        <f>BCA!E18</f>
        <v>3</v>
      </c>
      <c r="D17" s="15">
        <f>BCA!F18</f>
        <v>17.600000000000001</v>
      </c>
      <c r="E17" s="15">
        <f>BCA!G18</f>
        <v>10.6</v>
      </c>
      <c r="F17" s="15" t="str">
        <f>BCA!H18</f>
        <v>Full</v>
      </c>
      <c r="G17" s="15" t="str">
        <f>BCA!J18</f>
        <v>Central AC</v>
      </c>
      <c r="H17" s="16" t="str">
        <f>BCA!K18</f>
        <v>Electric Resistance</v>
      </c>
      <c r="I17" s="29">
        <v>1250</v>
      </c>
      <c r="J17" s="30">
        <v>553.35</v>
      </c>
      <c r="K17" s="30">
        <f t="shared" si="2"/>
        <v>1803.35</v>
      </c>
      <c r="L17" s="16" t="s">
        <v>73</v>
      </c>
      <c r="M17" s="29"/>
      <c r="N17" s="30"/>
      <c r="O17" s="30"/>
      <c r="P17" s="16" t="s">
        <v>73</v>
      </c>
      <c r="Q17" s="33">
        <f t="shared" si="4"/>
        <v>1803.35</v>
      </c>
      <c r="R17" s="14" t="s">
        <v>74</v>
      </c>
      <c r="S17" s="15" t="s">
        <v>74</v>
      </c>
      <c r="T17" s="30">
        <f>5033*C17</f>
        <v>15099</v>
      </c>
      <c r="U17" s="20" t="s">
        <v>83</v>
      </c>
    </row>
    <row r="18" spans="1:26" x14ac:dyDescent="0.2">
      <c r="A18" s="14" t="str">
        <f>BCA!B19</f>
        <v>P</v>
      </c>
      <c r="B18" s="15" t="str">
        <f>BCA!C19</f>
        <v>CASHP</v>
      </c>
      <c r="C18" s="15">
        <f>BCA!E19</f>
        <v>4</v>
      </c>
      <c r="D18" s="15">
        <f>BCA!F19</f>
        <v>17.600000000000001</v>
      </c>
      <c r="E18" s="15">
        <f>BCA!G19</f>
        <v>10.6</v>
      </c>
      <c r="F18" s="15" t="str">
        <f>BCA!H19</f>
        <v>Full</v>
      </c>
      <c r="G18" s="15" t="str">
        <f>BCA!J19</f>
        <v>Central AC</v>
      </c>
      <c r="H18" s="16" t="str">
        <f>BCA!K19</f>
        <v>Electric Resistance</v>
      </c>
      <c r="I18" s="29">
        <f>I17*C18/C17</f>
        <v>1666.6666666666667</v>
      </c>
      <c r="J18" s="30">
        <f>J17*C18/C17</f>
        <v>737.80000000000007</v>
      </c>
      <c r="K18" s="30">
        <f t="shared" si="2"/>
        <v>2404.4666666666667</v>
      </c>
      <c r="L18" s="16" t="s">
        <v>73</v>
      </c>
      <c r="M18" s="29"/>
      <c r="N18" s="30"/>
      <c r="O18" s="30"/>
      <c r="P18" s="16" t="s">
        <v>73</v>
      </c>
      <c r="Q18" s="33">
        <f t="shared" si="4"/>
        <v>2404.4666666666667</v>
      </c>
      <c r="R18" s="14" t="s">
        <v>74</v>
      </c>
      <c r="S18" s="15" t="s">
        <v>74</v>
      </c>
      <c r="T18" s="30">
        <f>T17*C18/C17</f>
        <v>20132</v>
      </c>
      <c r="U18" s="20" t="s">
        <v>120</v>
      </c>
    </row>
    <row r="19" spans="1:26" x14ac:dyDescent="0.2">
      <c r="A19" s="14" t="str">
        <f>BCA!B20</f>
        <v>Q</v>
      </c>
      <c r="B19" s="15" t="str">
        <f>BCA!C20</f>
        <v>HP WH</v>
      </c>
      <c r="C19" s="15">
        <f>BCA!E20</f>
        <v>50</v>
      </c>
      <c r="D19" s="15" t="str">
        <f>BCA!F20</f>
        <v>N/A</v>
      </c>
      <c r="E19" s="15">
        <f>BCA!G20</f>
        <v>3.3</v>
      </c>
      <c r="F19" s="15" t="str">
        <f>BCA!H20</f>
        <v>Full</v>
      </c>
      <c r="G19" s="15" t="str">
        <f>BCA!J20</f>
        <v>N/A</v>
      </c>
      <c r="H19" s="16" t="str">
        <f>BCA!K20</f>
        <v>Electric WH</v>
      </c>
      <c r="I19" s="29" t="s">
        <v>74</v>
      </c>
      <c r="J19" s="30" t="s">
        <v>74</v>
      </c>
      <c r="K19" s="30" t="s">
        <v>77</v>
      </c>
      <c r="L19" s="16" t="s">
        <v>77</v>
      </c>
      <c r="M19" s="29" t="s">
        <v>74</v>
      </c>
      <c r="N19" s="30" t="s">
        <v>74</v>
      </c>
      <c r="O19" s="30">
        <v>1469</v>
      </c>
      <c r="P19" s="20" t="s">
        <v>75</v>
      </c>
      <c r="Q19" s="33">
        <f t="shared" si="4"/>
        <v>1469</v>
      </c>
      <c r="R19" s="14" t="s">
        <v>74</v>
      </c>
      <c r="S19" s="15" t="s">
        <v>74</v>
      </c>
      <c r="T19" s="30">
        <v>2370</v>
      </c>
      <c r="U19" s="21" t="s">
        <v>75</v>
      </c>
    </row>
    <row r="20" spans="1:26" x14ac:dyDescent="0.2">
      <c r="A20" s="17" t="str">
        <f>BCA!B21</f>
        <v>R</v>
      </c>
      <c r="B20" s="18" t="str">
        <f>BCA!C21</f>
        <v>HP WH</v>
      </c>
      <c r="C20" s="18">
        <f>BCA!E21</f>
        <v>50</v>
      </c>
      <c r="D20" s="18" t="str">
        <f>BCA!F21</f>
        <v>N/A</v>
      </c>
      <c r="E20" s="18">
        <f>BCA!G21</f>
        <v>3.3</v>
      </c>
      <c r="F20" s="18" t="str">
        <f>BCA!H21</f>
        <v>Full</v>
      </c>
      <c r="G20" s="18" t="str">
        <f>BCA!J21</f>
        <v>N/A</v>
      </c>
      <c r="H20" s="22" t="str">
        <f>BCA!K21</f>
        <v>Oil WH</v>
      </c>
      <c r="I20" s="31" t="s">
        <v>74</v>
      </c>
      <c r="J20" s="32" t="s">
        <v>74</v>
      </c>
      <c r="K20" s="32" t="s">
        <v>77</v>
      </c>
      <c r="L20" s="19" t="s">
        <v>77</v>
      </c>
      <c r="M20" s="31" t="s">
        <v>74</v>
      </c>
      <c r="N20" s="32" t="s">
        <v>74</v>
      </c>
      <c r="O20" s="32">
        <v>2243</v>
      </c>
      <c r="P20" s="21" t="s">
        <v>75</v>
      </c>
      <c r="Q20" s="34">
        <f t="shared" si="4"/>
        <v>2243</v>
      </c>
      <c r="R20" s="17" t="s">
        <v>74</v>
      </c>
      <c r="S20" s="18" t="s">
        <v>74</v>
      </c>
      <c r="T20" s="32">
        <v>2370</v>
      </c>
      <c r="U20" s="21" t="s">
        <v>75</v>
      </c>
    </row>
    <row r="28" spans="1:26" x14ac:dyDescent="0.2">
      <c r="Z28" s="12" t="s">
        <v>76</v>
      </c>
    </row>
    <row r="32" spans="1:26" x14ac:dyDescent="0.2">
      <c r="A32" s="3"/>
    </row>
    <row r="33" spans="1:26" x14ac:dyDescent="0.2">
      <c r="A33" s="4"/>
    </row>
    <row r="34" spans="1:26" x14ac:dyDescent="0.2">
      <c r="A34" s="5"/>
    </row>
    <row r="35" spans="1:26" x14ac:dyDescent="0.2">
      <c r="A35" s="4"/>
    </row>
    <row r="36" spans="1:26" x14ac:dyDescent="0.2">
      <c r="A36" s="5"/>
      <c r="Z36" s="13" t="s">
        <v>85</v>
      </c>
    </row>
    <row r="37" spans="1:26" x14ac:dyDescent="0.2">
      <c r="A37" s="5"/>
    </row>
    <row r="38" spans="1:26" x14ac:dyDescent="0.2">
      <c r="A38" s="5"/>
    </row>
    <row r="39" spans="1:26" x14ac:dyDescent="0.2">
      <c r="A39" s="3"/>
    </row>
    <row r="44" spans="1:26" x14ac:dyDescent="0.2">
      <c r="Z44" s="13" t="s">
        <v>84</v>
      </c>
    </row>
    <row r="86" spans="17:19" x14ac:dyDescent="0.2">
      <c r="R86" t="s">
        <v>78</v>
      </c>
    </row>
    <row r="87" spans="17:19" x14ac:dyDescent="0.2">
      <c r="R87" t="s">
        <v>79</v>
      </c>
      <c r="S87" t="s">
        <v>80</v>
      </c>
    </row>
    <row r="88" spans="17:19" x14ac:dyDescent="0.2">
      <c r="Q88" t="s">
        <v>81</v>
      </c>
      <c r="R88">
        <v>40.5</v>
      </c>
      <c r="S88">
        <v>59.5</v>
      </c>
    </row>
    <row r="89" spans="17:19" x14ac:dyDescent="0.2">
      <c r="Q89" t="s">
        <v>82</v>
      </c>
      <c r="R89">
        <f>R88/(1000*3.412/12000)*(10.6/3.412)</f>
        <v>442.5110189676048</v>
      </c>
      <c r="S89">
        <f>S88/(1000*3.412/12000)*(10.6/3.412)</f>
        <v>650.10878095240707</v>
      </c>
    </row>
  </sheetData>
  <mergeCells count="3">
    <mergeCell ref="R1:U1"/>
    <mergeCell ref="I1:L1"/>
    <mergeCell ref="M1:P1"/>
  </mergeCells>
  <hyperlinks>
    <hyperlink ref="Z28" r:id="rId1" xr:uid="{AF692E0D-48FA-439C-A35D-BA10078FB3B2}"/>
    <hyperlink ref="Z44" r:id="rId2" xr:uid="{1750B1CE-BE24-4973-AC9A-58355D77E217}"/>
    <hyperlink ref="Z36" r:id="rId3" xr:uid="{17D4E445-80E3-417B-9011-820F6646B8EA}"/>
  </hyperlinks>
  <pageMargins left="0.7" right="0.7" top="0.75" bottom="0.75" header="0.3" footer="0.3"/>
  <pageSetup orientation="portrait" r:id="rId4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C5001-EBE7-45E1-8EE6-D6CE6BF9038D}">
  <dimension ref="A1:J43"/>
  <sheetViews>
    <sheetView workbookViewId="0">
      <selection activeCell="J7" sqref="J7"/>
    </sheetView>
  </sheetViews>
  <sheetFormatPr baseColWidth="10" defaultColWidth="8.83203125" defaultRowHeight="15" x14ac:dyDescent="0.2"/>
  <cols>
    <col min="3" max="3" width="15.5" customWidth="1"/>
    <col min="4" max="4" width="13.5" customWidth="1"/>
    <col min="10" max="10" width="20" bestFit="1" customWidth="1"/>
  </cols>
  <sheetData>
    <row r="1" spans="1:10" x14ac:dyDescent="0.2">
      <c r="B1" t="s">
        <v>99</v>
      </c>
      <c r="H1" t="s">
        <v>106</v>
      </c>
    </row>
    <row r="2" spans="1:10" x14ac:dyDescent="0.2">
      <c r="B2" t="s">
        <v>100</v>
      </c>
      <c r="H2" s="13" t="s">
        <v>107</v>
      </c>
    </row>
    <row r="3" spans="1:10" x14ac:dyDescent="0.2">
      <c r="B3" t="s">
        <v>101</v>
      </c>
      <c r="H3" t="s">
        <v>108</v>
      </c>
    </row>
    <row r="4" spans="1:10" x14ac:dyDescent="0.2">
      <c r="B4" t="s">
        <v>102</v>
      </c>
      <c r="H4" t="s">
        <v>102</v>
      </c>
    </row>
    <row r="5" spans="1:10" x14ac:dyDescent="0.2">
      <c r="A5" s="11" t="s">
        <v>110</v>
      </c>
      <c r="B5" s="11" t="s">
        <v>103</v>
      </c>
      <c r="C5" s="11" t="s">
        <v>104</v>
      </c>
      <c r="D5" s="11" t="s">
        <v>105</v>
      </c>
      <c r="E5" s="11"/>
      <c r="F5" s="11"/>
      <c r="G5" s="11" t="s">
        <v>110</v>
      </c>
      <c r="H5" s="11" t="s">
        <v>103</v>
      </c>
      <c r="I5" s="11" t="s">
        <v>109</v>
      </c>
      <c r="J5" s="11"/>
    </row>
    <row r="6" spans="1:10" x14ac:dyDescent="0.2">
      <c r="B6">
        <v>2019</v>
      </c>
      <c r="C6">
        <v>57.170749999999998</v>
      </c>
      <c r="D6">
        <f t="shared" ref="D6:D37" si="0">C6*3412/1000000</f>
        <v>0.19506659899999998</v>
      </c>
      <c r="H6">
        <v>2019</v>
      </c>
      <c r="I6">
        <v>21.792686</v>
      </c>
    </row>
    <row r="7" spans="1:10" x14ac:dyDescent="0.2">
      <c r="B7">
        <v>2020</v>
      </c>
      <c r="C7">
        <v>55.844459999999998</v>
      </c>
      <c r="D7">
        <f t="shared" si="0"/>
        <v>0.19054129751999999</v>
      </c>
      <c r="H7">
        <v>2020</v>
      </c>
      <c r="I7">
        <v>21.280846</v>
      </c>
    </row>
    <row r="8" spans="1:10" x14ac:dyDescent="0.2">
      <c r="A8">
        <v>1</v>
      </c>
      <c r="B8">
        <v>2021</v>
      </c>
      <c r="C8">
        <v>56.584408000000003</v>
      </c>
      <c r="D8">
        <f t="shared" si="0"/>
        <v>0.193066000096</v>
      </c>
      <c r="E8" s="56"/>
      <c r="G8">
        <v>1</v>
      </c>
      <c r="H8">
        <v>2021</v>
      </c>
      <c r="I8">
        <v>21.686253000000001</v>
      </c>
    </row>
    <row r="9" spans="1:10" x14ac:dyDescent="0.2">
      <c r="A9">
        <v>2</v>
      </c>
      <c r="B9">
        <v>2022</v>
      </c>
      <c r="C9">
        <v>56.865260999999997</v>
      </c>
      <c r="D9">
        <f t="shared" si="0"/>
        <v>0.194024270532</v>
      </c>
      <c r="G9">
        <v>2</v>
      </c>
      <c r="H9">
        <v>2022</v>
      </c>
      <c r="I9">
        <v>22.342390000000002</v>
      </c>
    </row>
    <row r="10" spans="1:10" x14ac:dyDescent="0.2">
      <c r="A10">
        <v>3</v>
      </c>
      <c r="B10">
        <v>2023</v>
      </c>
      <c r="C10">
        <v>56.913826</v>
      </c>
      <c r="D10">
        <f t="shared" si="0"/>
        <v>0.194189974312</v>
      </c>
      <c r="G10">
        <v>3</v>
      </c>
      <c r="H10">
        <v>2023</v>
      </c>
      <c r="I10">
        <v>22.806643999999999</v>
      </c>
    </row>
    <row r="11" spans="1:10" x14ac:dyDescent="0.2">
      <c r="A11">
        <v>4</v>
      </c>
      <c r="B11">
        <v>2024</v>
      </c>
      <c r="C11">
        <v>57.990147</v>
      </c>
      <c r="D11">
        <f t="shared" si="0"/>
        <v>0.19786238156400002</v>
      </c>
      <c r="G11">
        <v>4</v>
      </c>
      <c r="H11">
        <v>2024</v>
      </c>
      <c r="I11">
        <v>23.547830999999999</v>
      </c>
    </row>
    <row r="12" spans="1:10" x14ac:dyDescent="0.2">
      <c r="A12">
        <v>5</v>
      </c>
      <c r="B12">
        <v>2025</v>
      </c>
      <c r="C12">
        <v>59.491177</v>
      </c>
      <c r="D12">
        <f t="shared" si="0"/>
        <v>0.20298389592400001</v>
      </c>
      <c r="G12">
        <v>5</v>
      </c>
      <c r="H12">
        <v>2025</v>
      </c>
      <c r="I12">
        <v>24.046989</v>
      </c>
    </row>
    <row r="13" spans="1:10" x14ac:dyDescent="0.2">
      <c r="A13">
        <v>6</v>
      </c>
      <c r="B13">
        <v>2026</v>
      </c>
      <c r="C13">
        <v>60.280566999999998</v>
      </c>
      <c r="D13">
        <f t="shared" si="0"/>
        <v>0.205677294604</v>
      </c>
      <c r="G13">
        <v>6</v>
      </c>
      <c r="H13">
        <v>2026</v>
      </c>
      <c r="I13">
        <v>24.421178999999999</v>
      </c>
    </row>
    <row r="14" spans="1:10" x14ac:dyDescent="0.2">
      <c r="A14">
        <v>7</v>
      </c>
      <c r="B14">
        <v>2027</v>
      </c>
      <c r="C14">
        <v>62.517071000000001</v>
      </c>
      <c r="D14">
        <f t="shared" si="0"/>
        <v>0.21330824625200001</v>
      </c>
      <c r="G14">
        <v>7</v>
      </c>
      <c r="H14">
        <v>2027</v>
      </c>
      <c r="I14">
        <v>24.469498000000002</v>
      </c>
    </row>
    <row r="15" spans="1:10" x14ac:dyDescent="0.2">
      <c r="A15">
        <v>8</v>
      </c>
      <c r="B15">
        <v>2028</v>
      </c>
      <c r="C15">
        <v>62.102482000000002</v>
      </c>
      <c r="D15">
        <f t="shared" si="0"/>
        <v>0.21189366858399999</v>
      </c>
      <c r="G15">
        <v>8</v>
      </c>
      <c r="H15">
        <v>2028</v>
      </c>
      <c r="I15">
        <v>24.802547000000001</v>
      </c>
    </row>
    <row r="16" spans="1:10" x14ac:dyDescent="0.2">
      <c r="A16">
        <v>9</v>
      </c>
      <c r="B16">
        <v>2029</v>
      </c>
      <c r="C16">
        <v>60.234057999999997</v>
      </c>
      <c r="D16">
        <f t="shared" si="0"/>
        <v>0.20551860589599999</v>
      </c>
      <c r="G16">
        <v>9</v>
      </c>
      <c r="H16">
        <v>2029</v>
      </c>
      <c r="I16">
        <v>25.015111999999998</v>
      </c>
    </row>
    <row r="17" spans="1:9" x14ac:dyDescent="0.2">
      <c r="A17">
        <v>10</v>
      </c>
      <c r="B17">
        <v>2030</v>
      </c>
      <c r="C17">
        <v>59.788189000000003</v>
      </c>
      <c r="D17">
        <f t="shared" si="0"/>
        <v>0.20399730086800003</v>
      </c>
      <c r="G17">
        <v>10</v>
      </c>
      <c r="H17">
        <v>2030</v>
      </c>
      <c r="I17">
        <v>25.134751999999999</v>
      </c>
    </row>
    <row r="18" spans="1:9" x14ac:dyDescent="0.2">
      <c r="A18">
        <v>11</v>
      </c>
      <c r="B18">
        <v>2031</v>
      </c>
      <c r="C18">
        <v>59.314822999999997</v>
      </c>
      <c r="D18">
        <f t="shared" si="0"/>
        <v>0.20238217607600001</v>
      </c>
      <c r="G18">
        <v>11</v>
      </c>
      <c r="H18">
        <v>2031</v>
      </c>
      <c r="I18">
        <v>25.403058999999999</v>
      </c>
    </row>
    <row r="19" spans="1:9" x14ac:dyDescent="0.2">
      <c r="A19">
        <v>12</v>
      </c>
      <c r="B19">
        <v>2032</v>
      </c>
      <c r="C19">
        <v>59.372574</v>
      </c>
      <c r="D19">
        <f t="shared" si="0"/>
        <v>0.202579222488</v>
      </c>
      <c r="G19">
        <v>12</v>
      </c>
      <c r="H19">
        <v>2032</v>
      </c>
      <c r="I19">
        <v>25.586226</v>
      </c>
    </row>
    <row r="20" spans="1:9" x14ac:dyDescent="0.2">
      <c r="A20">
        <v>13</v>
      </c>
      <c r="B20">
        <v>2033</v>
      </c>
      <c r="C20">
        <v>59.743496</v>
      </c>
      <c r="D20">
        <f t="shared" si="0"/>
        <v>0.203844808352</v>
      </c>
      <c r="G20">
        <v>13</v>
      </c>
      <c r="H20">
        <v>2033</v>
      </c>
      <c r="I20">
        <v>25.901146000000001</v>
      </c>
    </row>
    <row r="21" spans="1:9" x14ac:dyDescent="0.2">
      <c r="A21">
        <v>14</v>
      </c>
      <c r="B21">
        <v>2034</v>
      </c>
      <c r="C21">
        <v>60.155296</v>
      </c>
      <c r="D21">
        <f t="shared" si="0"/>
        <v>0.20524986995200001</v>
      </c>
      <c r="G21">
        <v>14</v>
      </c>
      <c r="H21">
        <v>2034</v>
      </c>
      <c r="I21">
        <v>26.106535000000001</v>
      </c>
    </row>
    <row r="22" spans="1:9" x14ac:dyDescent="0.2">
      <c r="A22">
        <v>15</v>
      </c>
      <c r="B22">
        <v>2035</v>
      </c>
      <c r="C22">
        <v>59.367783000000003</v>
      </c>
      <c r="D22">
        <f t="shared" si="0"/>
        <v>0.202562875596</v>
      </c>
      <c r="G22">
        <v>15</v>
      </c>
      <c r="H22">
        <v>2035</v>
      </c>
      <c r="I22">
        <v>26.326637000000002</v>
      </c>
    </row>
    <row r="23" spans="1:9" x14ac:dyDescent="0.2">
      <c r="A23">
        <v>16</v>
      </c>
      <c r="B23">
        <v>2036</v>
      </c>
      <c r="C23">
        <v>59.350802999999999</v>
      </c>
      <c r="D23">
        <f t="shared" si="0"/>
        <v>0.20250493983600001</v>
      </c>
      <c r="G23">
        <v>16</v>
      </c>
      <c r="H23">
        <v>2036</v>
      </c>
      <c r="I23">
        <v>26.568932</v>
      </c>
    </row>
    <row r="24" spans="1:9" x14ac:dyDescent="0.2">
      <c r="A24">
        <v>17</v>
      </c>
      <c r="B24">
        <v>2037</v>
      </c>
      <c r="C24">
        <v>59.372340999999999</v>
      </c>
      <c r="D24">
        <f t="shared" si="0"/>
        <v>0.202578427492</v>
      </c>
      <c r="G24">
        <v>17</v>
      </c>
      <c r="H24">
        <v>2037</v>
      </c>
      <c r="I24">
        <v>26.727934000000001</v>
      </c>
    </row>
    <row r="25" spans="1:9" x14ac:dyDescent="0.2">
      <c r="A25">
        <v>18</v>
      </c>
      <c r="B25">
        <v>2038</v>
      </c>
      <c r="C25">
        <v>60.247275999999999</v>
      </c>
      <c r="D25">
        <f t="shared" si="0"/>
        <v>0.205563705712</v>
      </c>
      <c r="G25">
        <v>18</v>
      </c>
      <c r="H25">
        <v>2038</v>
      </c>
      <c r="I25">
        <v>26.937935</v>
      </c>
    </row>
    <row r="26" spans="1:9" x14ac:dyDescent="0.2">
      <c r="A26">
        <v>19</v>
      </c>
      <c r="B26">
        <v>2039</v>
      </c>
      <c r="C26">
        <v>60.464835999999998</v>
      </c>
      <c r="D26">
        <f t="shared" si="0"/>
        <v>0.206306020432</v>
      </c>
      <c r="G26">
        <v>19</v>
      </c>
      <c r="H26">
        <v>2039</v>
      </c>
      <c r="I26">
        <v>27.160944000000001</v>
      </c>
    </row>
    <row r="27" spans="1:9" x14ac:dyDescent="0.2">
      <c r="A27">
        <v>20</v>
      </c>
      <c r="B27">
        <v>2040</v>
      </c>
      <c r="C27">
        <v>60.380341000000001</v>
      </c>
      <c r="D27">
        <f t="shared" si="0"/>
        <v>0.20601772349200001</v>
      </c>
      <c r="G27">
        <v>20</v>
      </c>
      <c r="H27">
        <v>2040</v>
      </c>
      <c r="I27">
        <v>27.169969999999999</v>
      </c>
    </row>
    <row r="28" spans="1:9" x14ac:dyDescent="0.2">
      <c r="A28">
        <v>21</v>
      </c>
      <c r="B28">
        <v>2041</v>
      </c>
      <c r="C28">
        <v>60.418339000000003</v>
      </c>
      <c r="D28">
        <f t="shared" si="0"/>
        <v>0.20614737266799998</v>
      </c>
      <c r="G28">
        <v>21</v>
      </c>
      <c r="H28">
        <v>2041</v>
      </c>
      <c r="I28">
        <v>27.349077000000001</v>
      </c>
    </row>
    <row r="29" spans="1:9" x14ac:dyDescent="0.2">
      <c r="A29">
        <v>22</v>
      </c>
      <c r="B29">
        <v>2042</v>
      </c>
      <c r="C29">
        <v>60.420712000000002</v>
      </c>
      <c r="D29">
        <f t="shared" si="0"/>
        <v>0.206155469344</v>
      </c>
      <c r="G29">
        <v>22</v>
      </c>
      <c r="H29">
        <v>2042</v>
      </c>
      <c r="I29">
        <v>27.719835</v>
      </c>
    </row>
    <row r="30" spans="1:9" x14ac:dyDescent="0.2">
      <c r="A30">
        <v>23</v>
      </c>
      <c r="B30">
        <v>2043</v>
      </c>
      <c r="C30">
        <v>60.39687</v>
      </c>
      <c r="D30">
        <f t="shared" si="0"/>
        <v>0.20607412044000001</v>
      </c>
      <c r="G30">
        <v>23</v>
      </c>
      <c r="H30">
        <v>2043</v>
      </c>
      <c r="I30">
        <v>27.879615999999999</v>
      </c>
    </row>
    <row r="31" spans="1:9" x14ac:dyDescent="0.2">
      <c r="A31">
        <v>24</v>
      </c>
      <c r="B31">
        <v>2044</v>
      </c>
      <c r="C31">
        <v>60.374370999999996</v>
      </c>
      <c r="D31">
        <f t="shared" si="0"/>
        <v>0.20599735385199999</v>
      </c>
      <c r="G31">
        <v>24</v>
      </c>
      <c r="H31">
        <v>2044</v>
      </c>
      <c r="I31">
        <v>28.092783000000001</v>
      </c>
    </row>
    <row r="32" spans="1:9" x14ac:dyDescent="0.2">
      <c r="A32">
        <v>25</v>
      </c>
      <c r="B32">
        <v>2045</v>
      </c>
      <c r="C32">
        <v>60.423850999999999</v>
      </c>
      <c r="D32">
        <f t="shared" si="0"/>
        <v>0.20616617961200001</v>
      </c>
      <c r="G32">
        <v>25</v>
      </c>
      <c r="H32">
        <v>2045</v>
      </c>
      <c r="I32">
        <v>28.456797000000002</v>
      </c>
    </row>
    <row r="33" spans="1:10" x14ac:dyDescent="0.2">
      <c r="A33">
        <v>26</v>
      </c>
      <c r="B33">
        <v>2046</v>
      </c>
      <c r="C33">
        <v>60.343521000000003</v>
      </c>
      <c r="D33">
        <f t="shared" si="0"/>
        <v>0.20589209365200001</v>
      </c>
      <c r="G33">
        <v>26</v>
      </c>
      <c r="H33">
        <v>2046</v>
      </c>
      <c r="I33">
        <v>28.473414999999999</v>
      </c>
    </row>
    <row r="34" spans="1:10" x14ac:dyDescent="0.2">
      <c r="A34">
        <v>27</v>
      </c>
      <c r="B34">
        <v>2047</v>
      </c>
      <c r="C34">
        <v>60.351334000000001</v>
      </c>
      <c r="D34">
        <f t="shared" si="0"/>
        <v>0.20591875160799999</v>
      </c>
      <c r="G34">
        <v>27</v>
      </c>
      <c r="H34">
        <v>2047</v>
      </c>
      <c r="I34">
        <v>28.714248999999999</v>
      </c>
    </row>
    <row r="35" spans="1:10" x14ac:dyDescent="0.2">
      <c r="A35">
        <v>28</v>
      </c>
      <c r="B35">
        <v>2048</v>
      </c>
      <c r="C35">
        <v>60.149258000000003</v>
      </c>
      <c r="D35">
        <f t="shared" si="0"/>
        <v>0.20522926829600002</v>
      </c>
      <c r="G35">
        <v>28</v>
      </c>
      <c r="H35">
        <v>2048</v>
      </c>
      <c r="I35">
        <v>28.949235999999999</v>
      </c>
    </row>
    <row r="36" spans="1:10" x14ac:dyDescent="0.2">
      <c r="A36">
        <v>29</v>
      </c>
      <c r="B36">
        <v>2049</v>
      </c>
      <c r="C36">
        <v>59.986420000000003</v>
      </c>
      <c r="D36">
        <f t="shared" si="0"/>
        <v>0.20467366504000001</v>
      </c>
      <c r="G36">
        <v>29</v>
      </c>
      <c r="H36">
        <v>2049</v>
      </c>
      <c r="I36">
        <v>29.115601999999999</v>
      </c>
    </row>
    <row r="37" spans="1:10" x14ac:dyDescent="0.2">
      <c r="A37">
        <v>30</v>
      </c>
      <c r="B37">
        <v>2050</v>
      </c>
      <c r="C37">
        <v>59.844776000000003</v>
      </c>
      <c r="D37">
        <f t="shared" si="0"/>
        <v>0.20419037571200002</v>
      </c>
      <c r="G37">
        <v>30</v>
      </c>
      <c r="H37">
        <v>2050</v>
      </c>
      <c r="I37">
        <v>29.273095999999999</v>
      </c>
    </row>
    <row r="39" spans="1:10" x14ac:dyDescent="0.2">
      <c r="D39" s="57">
        <f>NPV(D43,D9:D25)+D8</f>
        <v>2.8670223843278544</v>
      </c>
      <c r="E39" t="s">
        <v>111</v>
      </c>
      <c r="I39" s="57">
        <f>NPV(D43,I9:I25)+I8</f>
        <v>349.26929249906254</v>
      </c>
      <c r="J39" t="s">
        <v>111</v>
      </c>
    </row>
    <row r="40" spans="1:10" x14ac:dyDescent="0.2">
      <c r="D40" s="57">
        <f>NPV(D43,D9:D20)+D8</f>
        <v>2.212749470218919</v>
      </c>
      <c r="E40" t="s">
        <v>112</v>
      </c>
      <c r="I40" s="57">
        <f>NPV(D43,I9:I20)+I8</f>
        <v>264.07955907188494</v>
      </c>
      <c r="J40" t="s">
        <v>112</v>
      </c>
    </row>
    <row r="43" spans="1:10" x14ac:dyDescent="0.2">
      <c r="B43" s="118" t="s">
        <v>124</v>
      </c>
      <c r="C43" s="118"/>
      <c r="D43" s="55">
        <v>0.03</v>
      </c>
    </row>
  </sheetData>
  <mergeCells count="1">
    <mergeCell ref="B43:C43"/>
  </mergeCells>
  <hyperlinks>
    <hyperlink ref="H2" r:id="rId1" location="/?id=3-AEO2020&amp;region=1-1&amp;cases=ref2020&amp;start=2018&amp;end=2050&amp;f=A&amp;linechart=~~~~~~~~~~~~~~~ref2020-d112119a.4-3-AEO2020.1-1&amp;map=ref2020-d112119a.4-3-AEO2020.1-1&amp;ctype=linechart&amp;sid=&amp;sourcekey=0" xr:uid="{E532CE11-7FDA-45FE-BEDC-D2BECC4A8057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2881A55426A4880989777A5A5DDE1" ma:contentTypeVersion="12" ma:contentTypeDescription="Create a new document." ma:contentTypeScope="" ma:versionID="61693aca70d499a04bd3a3aa00e501ea">
  <xsd:schema xmlns:xsd="http://www.w3.org/2001/XMLSchema" xmlns:xs="http://www.w3.org/2001/XMLSchema" xmlns:p="http://schemas.microsoft.com/office/2006/metadata/properties" xmlns:ns2="1b051ef0-edd4-46a5-9f74-d6eaace64f71" xmlns:ns3="dbce6ddb-b097-4947-bf92-e189f4da634a" targetNamespace="http://schemas.microsoft.com/office/2006/metadata/properties" ma:root="true" ma:fieldsID="a677d006ee72c061e831a3b4820a51fa" ns2:_="" ns3:_="">
    <xsd:import namespace="1b051ef0-edd4-46a5-9f74-d6eaace64f71"/>
    <xsd:import namespace="dbce6ddb-b097-4947-bf92-e189f4da63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51ef0-edd4-46a5-9f74-d6eaace64f7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ddb-b097-4947-bf92-e189f4da6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b051ef0-edd4-46a5-9f74-d6eaace64f71">J72333MUYW4V-1945816395-7143</_dlc_DocId>
    <_dlc_DocIdUrl xmlns="1b051ef0-edd4-46a5-9f74-d6eaace64f71">
      <Url>https://nmrgroupinc.sharepoint.com/CTResidential/_layouts/15/DocIdRedir.aspx?ID=J72333MUYW4V-1945816395-7143</Url>
      <Description>J72333MUYW4V-1945816395-7143</Description>
    </_dlc_DocIdUrl>
  </documentManagement>
</p:properties>
</file>

<file path=customXml/itemProps1.xml><?xml version="1.0" encoding="utf-8"?>
<ds:datastoreItem xmlns:ds="http://schemas.openxmlformats.org/officeDocument/2006/customXml" ds:itemID="{D32BF830-7BEA-4817-AF1D-7BBCACC4FDBF}"/>
</file>

<file path=customXml/itemProps2.xml><?xml version="1.0" encoding="utf-8"?>
<ds:datastoreItem xmlns:ds="http://schemas.openxmlformats.org/officeDocument/2006/customXml" ds:itemID="{6421D220-595B-4E53-B60D-B61F027A060A}"/>
</file>

<file path=customXml/itemProps3.xml><?xml version="1.0" encoding="utf-8"?>
<ds:datastoreItem xmlns:ds="http://schemas.openxmlformats.org/officeDocument/2006/customXml" ds:itemID="{A8CA8B5C-33F2-4294-A0F5-3589C460A491}"/>
</file>

<file path=customXml/itemProps4.xml><?xml version="1.0" encoding="utf-8"?>
<ds:datastoreItem xmlns:ds="http://schemas.openxmlformats.org/officeDocument/2006/customXml" ds:itemID="{22FAE97C-E84D-4256-BFD5-17819F14B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BCA</vt:lpstr>
      <vt:lpstr>HP Consumption</vt:lpstr>
      <vt:lpstr>Baseline Consumption</vt:lpstr>
      <vt:lpstr>Cost Data</vt:lpstr>
      <vt:lpstr>Energy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Mitchill, Geoffrey</dc:creator>
  <cp:lastModifiedBy>NMR Group</cp:lastModifiedBy>
  <dcterms:created xsi:type="dcterms:W3CDTF">2021-03-23T17:15:03Z</dcterms:created>
  <dcterms:modified xsi:type="dcterms:W3CDTF">2022-05-06T17:13:33Z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2021-04-14T20:44:27Z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ebedad8c-306e-4c27-ac51-ba239b6f1ae9</vt:lpwstr>
  </property>
  <property fmtid="{D5CDD505-2E9C-101B-9397-08002B2CF9AE}" pid="8" name="MSIP_Label_22fbb032-08bf-4f1e-af46-2528cd3f96ca_ContentBits">
    <vt:lpwstr>0</vt:lpwstr>
  </property>
  <property fmtid="{D5CDD505-2E9C-101B-9397-08002B2CF9AE}" pid="9" name="ContentTypeId">
    <vt:lpwstr>0x010100A782881A55426A4880989777A5A5DDE1</vt:lpwstr>
  </property>
  <property fmtid="{D5CDD505-2E9C-101B-9397-08002B2CF9AE}" pid="10" name="_dlc_DocIdItemGuid">
    <vt:lpwstr>13292808-536b-4844-b57b-896a2956966c</vt:lpwstr>
  </property>
</Properties>
</file>